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drawings/drawing6.xml" ContentType="application/vnd.openxmlformats-officedocument.drawing+xml"/>
  <Override PartName="/xl/drawings/drawing7.xml" ContentType="application/vnd.openxmlformats-officedocument.drawing+xml"/>
  <Override PartName="/xl/embeddings/oleObject1.bin" ContentType="application/vnd.openxmlformats-officedocument.oleObject"/>
  <Override PartName="/xl/tables/table1.xml" ContentType="application/vnd.openxmlformats-officedocument.spreadsheetml.table+xml"/>
  <Override PartName="/xl/comments1.xml" ContentType="application/vnd.openxmlformats-officedocument.spreadsheetml.comments+xml"/>
  <Override PartName="/xl/featurePropertyBag/featurePropertyBag.xml" ContentType="application/vnd.ms-excel.featurepropertyba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defaultThemeVersion="166925"/>
  <mc:AlternateContent xmlns:mc="http://schemas.openxmlformats.org/markup-compatibility/2006">
    <mc:Choice Requires="x15">
      <x15ac:absPath xmlns:x15ac="http://schemas.microsoft.com/office/spreadsheetml/2010/11/ac" url="https://reedelsevier-my.sharepoint.com/personal/eisenstj_legal_regn_net/Documents/Desktop/Abrechnungen/"/>
    </mc:Choice>
  </mc:AlternateContent>
  <xr:revisionPtr revIDLastSave="1" documentId="8_{4AD81243-95EB-4598-A275-151BCB972DA5}" xr6:coauthVersionLast="47" xr6:coauthVersionMax="47" xr10:uidLastSave="{DF6FF7F8-C2AB-40F4-92E5-193111FC8D91}"/>
  <bookViews>
    <workbookView xWindow="-108" yWindow="-108" windowWidth="23256" windowHeight="12456" tabRatio="750" activeTab="5" xr2:uid="{960E1959-3A24-47A1-A32B-590EA89A2998}"/>
  </bookViews>
  <sheets>
    <sheet name="Form" sheetId="1" r:id="rId1"/>
    <sheet name="Instructions" sheetId="16" state="hidden" r:id="rId2"/>
    <sheet name="Languages" sheetId="5" state="hidden" r:id="rId3"/>
    <sheet name="LN France Form" sheetId="19" state="hidden" r:id="rId4"/>
    <sheet name="Languages France" sheetId="20" state="hidden" r:id="rId5"/>
    <sheet name="LN Austria Germany Form" sheetId="21" r:id="rId6"/>
    <sheet name="LanguagesA" sheetId="22" state="hidden" r:id="rId7"/>
    <sheet name="LN South Africa Form" sheetId="23" state="hidden" r:id="rId8"/>
    <sheet name="India Registrations - India" sheetId="12" state="hidden" r:id="rId9"/>
    <sheet name="W8-W9 - US" sheetId="13" state="hidden" r:id="rId10"/>
    <sheet name="Invoicing Requirements" sheetId="15" state="hidden" r:id="rId11"/>
    <sheet name="Drop Down Lists" sheetId="2" state="hidden" r:id="rId12"/>
    <sheet name="Conditions" sheetId="3" state="hidden" r:id="rId13"/>
    <sheet name="indirect&amp;text" sheetId="4" state="hidden" r:id="rId14"/>
    <sheet name="VM Team Conditions" sheetId="9" state="hidden" r:id="rId15"/>
    <sheet name="Versions" sheetId="17" state="hidden" r:id="rId16"/>
  </sheets>
  <externalReferences>
    <externalReference r:id="rId17"/>
    <externalReference r:id="rId18"/>
  </externalReferences>
  <definedNames>
    <definedName name="accounttype">'Drop Down Lists'!$AJ$2:$AJ$4</definedName>
    <definedName name="addtlnotes">'VM Team Conditions'!#REF!</definedName>
    <definedName name="agent">'Drop Down Lists'!$Q$1:$Q$3</definedName>
    <definedName name="authorcont" localSheetId="1">[1]Form!#REF!</definedName>
    <definedName name="authorcont" localSheetId="5">'LN Austria Germany Form'!#REF!</definedName>
    <definedName name="authorcont" localSheetId="3">'LN France Form'!#REF!</definedName>
    <definedName name="authorcont" localSheetId="7">'LN South Africa Form'!#REF!</definedName>
    <definedName name="authorcont">Form!#REF!</definedName>
    <definedName name="authoreditor">'Drop Down Lists'!$P$1:$P$3</definedName>
    <definedName name="bankcodecond" localSheetId="1">[1]Conditions!$R$1</definedName>
    <definedName name="bankcodecond">Conditions!$R$1</definedName>
    <definedName name="bankcodecond2" localSheetId="1">[1]Conditions!$T$1</definedName>
    <definedName name="bankcodecond2">Conditions!$T$1</definedName>
    <definedName name="bankcountry1" localSheetId="1">[1]Form!$D$117</definedName>
    <definedName name="bankcountry1" localSheetId="5">'LN Austria Germany Form'!$D$74</definedName>
    <definedName name="bankcountry1" localSheetId="3">'LN France Form'!$D$106</definedName>
    <definedName name="bankcountry1" localSheetId="7">'LN South Africa Form'!$D$79</definedName>
    <definedName name="bankcountry1">Form!$D$145</definedName>
    <definedName name="bankcountry2" localSheetId="1">[1]Form!$J$117</definedName>
    <definedName name="bankcountry2" localSheetId="5">'LN Austria Germany Form'!$I$74</definedName>
    <definedName name="bankcountry2" localSheetId="3">'LN France Form'!$I$106</definedName>
    <definedName name="bankcountry2" localSheetId="7">'LN South Africa Form'!$I$79</definedName>
    <definedName name="bankcountry2">Form!$I$145</definedName>
    <definedName name="blank" localSheetId="1">[1]Conditions!$A$2</definedName>
    <definedName name="blank">Conditions!$A$2</definedName>
    <definedName name="canadaprov">'Drop Down Lists'!$X$2:$X$16</definedName>
    <definedName name="canadatax">[2]Values_supfor!$BE$2:$BE$4</definedName>
    <definedName name="classfil" localSheetId="1">'[1]VM Team Conditions'!$E$1</definedName>
    <definedName name="classfil">'VM Team Conditions'!$F$1</definedName>
    <definedName name="coind">'Drop Down Lists'!$E$1:$E$3</definedName>
    <definedName name="coindfr">'Drop Down Lists'!$E$1:$E$4</definedName>
    <definedName name="countindco">Conditions!$C$1</definedName>
    <definedName name="countries" localSheetId="8">[2]Values_supfor!$K$2:$K$257</definedName>
    <definedName name="countries" localSheetId="1">'[1]Drop Down Lists'!$U$1:$U$254</definedName>
    <definedName name="countries" localSheetId="9">[2]Values_supfor!$K$2:$K$257</definedName>
    <definedName name="countries">'Drop Down Lists'!$U$1:$U$254</definedName>
    <definedName name="countriessmall">[2]Values_supfor!$K$4:$K$257</definedName>
    <definedName name="country" localSheetId="1">[1]Form!$G$43</definedName>
    <definedName name="country" localSheetId="5">'LN Austria Germany Form'!$G$40</definedName>
    <definedName name="country" localSheetId="3">'LN France Form'!$G$52</definedName>
    <definedName name="country" localSheetId="7">'LN South Africa Form'!$G$54</definedName>
    <definedName name="country">Form!$G$55</definedName>
    <definedName name="countrytax">#REF!</definedName>
    <definedName name="currency">[2]Values_supfor!$J$2:$J$12</definedName>
    <definedName name="currencycancheck">'Drop Down Lists'!$AE$13:$AE$15</definedName>
    <definedName name="currencydd">Conditions!$M$1</definedName>
    <definedName name="currencylistfull">'Drop Down Lists'!$AE$2:$AE$6</definedName>
    <definedName name="currencynoother">'Drop Down Lists'!$AE$8:$AE$11</definedName>
    <definedName name="_xlnm.Print_Area" localSheetId="0">Form!$A$1:$L$187</definedName>
    <definedName name="_xlnm.Print_Area" localSheetId="8">'India Registrations - India'!$A$3:$G$29</definedName>
    <definedName name="_xlnm.Print_Area" localSheetId="5">'LN Austria Germany Form'!$A$1:$L$94</definedName>
    <definedName name="_xlnm.Print_Area" localSheetId="3">'LN France Form'!$A$1:$L$128</definedName>
    <definedName name="_xlnm.Print_Area" localSheetId="7">'LN South Africa Form'!$A$1:$L$99</definedName>
    <definedName name="frankfurtsvc">'Drop Down Lists'!$S$1:$S$16</definedName>
    <definedName name="frsvctype">'Drop Down Lists'!$AD$2:$AD$14</definedName>
    <definedName name="GSTYN" localSheetId="1">'[1]Drop Down Lists'!$AB$2:$AB$4</definedName>
    <definedName name="GSTYN">'Drop Down Lists'!$AB$2:$AB$4</definedName>
    <definedName name="HSTYN" localSheetId="1">'[1]Drop Down Lists'!$AA$2:$AA$4</definedName>
    <definedName name="HSTYN">'Drop Down Lists'!$AA$2:$AA$4</definedName>
    <definedName name="ibancond1" localSheetId="1">[1]Conditions!$AB$1</definedName>
    <definedName name="ibancond1">Conditions!$AB$1</definedName>
    <definedName name="ibancond2" localSheetId="1">[1]Conditions!$AC$1</definedName>
    <definedName name="ibancond2">Conditions!$AC$1</definedName>
    <definedName name="ibanreqcond1" localSheetId="1">[1]Conditions!$AE$1</definedName>
    <definedName name="ibanreqcond1">Conditions!$AE$1</definedName>
    <definedName name="ibanreqcond2" localSheetId="1">[1]Conditions!$AF$1</definedName>
    <definedName name="ibanreqcond2">Conditions!$AF$1</definedName>
    <definedName name="iclocation" localSheetId="1">'[1]Drop Down Lists'!$F$1:$F$3</definedName>
    <definedName name="iclocation">'Drop Down Lists'!$F$1:$F$3</definedName>
    <definedName name="icspend" localSheetId="1">'[1]Drop Down Lists'!$L$1:$L$4</definedName>
    <definedName name="icspend">'Drop Down Lists'!$L$1:$L$4</definedName>
    <definedName name="indaccttype1" localSheetId="1">'[1]indirect&amp;text'!$B$22</definedName>
    <definedName name="indaccttype1">'indirect&amp;text'!$B$22</definedName>
    <definedName name="indaccttype2" localSheetId="1">'[1]indirect&amp;text'!$B$23</definedName>
    <definedName name="indaccttype2">'indirect&amp;text'!$B$23</definedName>
    <definedName name="indcoind">'indirect&amp;text'!$B$3</definedName>
    <definedName name="indfragmda">'indirect&amp;text'!$B$17</definedName>
    <definedName name="indfranksvc">'indirect&amp;text'!$B$9</definedName>
    <definedName name="indfrsvctype">'indirect&amp;text'!$B$16</definedName>
    <definedName name="indgst">'indirect&amp;text'!$B$14</definedName>
    <definedName name="indhst">'indirect&amp;text'!$B$13</definedName>
    <definedName name="indicloc">'indirect&amp;text'!$B$4</definedName>
    <definedName name="indirecticagree">'indirect&amp;text'!$B$6</definedName>
    <definedName name="indirecticspend">'indirect&amp;text'!$B$5</definedName>
    <definedName name="indirectledger">'indirect&amp;text'!$B$7</definedName>
    <definedName name="indmunfc">'indirect&amp;text'!$B$12</definedName>
    <definedName name="indmunvat">'indirect&amp;text'!$B$11</definedName>
    <definedName name="indothercurr">'indirect&amp;text'!$B$21</definedName>
    <definedName name="indpaymethod" localSheetId="1">'[1]indirect&amp;text'!#REF!</definedName>
    <definedName name="indpaymethod">'indirect&amp;text'!#REF!</definedName>
    <definedName name="indprov" localSheetId="1">'[1]indirect&amp;text'!$B$10</definedName>
    <definedName name="indprov">'indirect&amp;text'!$B$10</definedName>
    <definedName name="indqst">'indirect&amp;text'!$B$15</definedName>
    <definedName name="indspaintaxres">'indirect&amp;text'!$B$20</definedName>
    <definedName name="indspainvat" localSheetId="1">'[1]indirect&amp;text'!$B$18</definedName>
    <definedName name="indspainvat">'indirect&amp;text'!$B$18</definedName>
    <definedName name="indusserviceloc">'indirect&amp;text'!$B$8</definedName>
    <definedName name="indwhtax">'indirect&amp;text'!$B$19</definedName>
    <definedName name="itinfield" localSheetId="1">[1]Form!$G$76</definedName>
    <definedName name="itinfield" localSheetId="5">'LN Austria Germany Form'!#REF!</definedName>
    <definedName name="itinfield" localSheetId="3">'LN France Form'!#REF!</definedName>
    <definedName name="itinfield" localSheetId="7">'LN South Africa Form'!#REF!</definedName>
    <definedName name="itinfield">Form!$G$96</definedName>
    <definedName name="language" localSheetId="1">[1]Form!$D$2</definedName>
    <definedName name="language" localSheetId="5">'LN Austria Germany Form'!$D$4</definedName>
    <definedName name="language" localSheetId="3">'LN France Form'!$D$4</definedName>
    <definedName name="language" localSheetId="7">'LN South Africa Form'!$D$4</definedName>
    <definedName name="language">Form!$D$4</definedName>
    <definedName name="languages" localSheetId="1">'[1]Drop Down Lists'!$R$1:$R$9</definedName>
    <definedName name="languages">'Drop Down Lists'!$R$1:$R$9</definedName>
    <definedName name="ledger1" localSheetId="1">[1]Form!$E$22</definedName>
    <definedName name="ledger1" localSheetId="5">'LN Austria Germany Form'!$E$15</definedName>
    <definedName name="ledger1" localSheetId="3">'LN France Form'!$E$15</definedName>
    <definedName name="ledger1" localSheetId="7">'LN South Africa Form'!$E$15</definedName>
    <definedName name="ledger1">Form!$E$15</definedName>
    <definedName name="ledger2" localSheetId="1">[1]Form!#REF!</definedName>
    <definedName name="ledger2" localSheetId="5">'LN Austria Germany Form'!#REF!</definedName>
    <definedName name="ledger2" localSheetId="3">'LN France Form'!#REF!</definedName>
    <definedName name="ledger2" localSheetId="7">'LN South Africa Form'!#REF!</definedName>
    <definedName name="ledger2">Form!#REF!</definedName>
    <definedName name="ledger3" localSheetId="1">[1]Form!#REF!</definedName>
    <definedName name="ledger3" localSheetId="5">'LN Austria Germany Form'!#REF!</definedName>
    <definedName name="ledger3" localSheetId="3">'LN France Form'!#REF!</definedName>
    <definedName name="ledger3" localSheetId="7">'LN South Africa Form'!#REF!</definedName>
    <definedName name="ledger3">Form!#REF!</definedName>
    <definedName name="ledger4" localSheetId="1">[1]Form!#REF!</definedName>
    <definedName name="ledger4" localSheetId="5">'LN Austria Germany Form'!#REF!</definedName>
    <definedName name="ledger4" localSheetId="3">'LN France Form'!#REF!</definedName>
    <definedName name="ledger4" localSheetId="7">'LN South Africa Form'!#REF!</definedName>
    <definedName name="ledger4">Form!#REF!</definedName>
    <definedName name="ledgerlist">'Drop Down Lists'!$N$1:$N$32</definedName>
    <definedName name="ledgerlistroy">'Drop Down Lists'!$N$1:$N$9</definedName>
    <definedName name="ledgerlistroyindia">'Drop Down Lists'!$N$25:$N$27</definedName>
    <definedName name="ledgerlistroymun">'Drop Down Lists'!$N$14:$N$17</definedName>
    <definedName name="ledgerlistroyusa">'Drop Down Lists'!#REF!</definedName>
    <definedName name="munichvat" localSheetId="1">'[1]Drop Down Lists'!$Y$2:$Y$5</definedName>
    <definedName name="munichvat">'Drop Down Lists'!$Y$2:$Y$5</definedName>
    <definedName name="nyger">'Drop Down Lists'!$Z$2:$Z$4</definedName>
    <definedName name="othercurrency" localSheetId="1">'[1]Drop Down Lists'!$AF$3:$AF$53</definedName>
    <definedName name="othercurrency">'Drop Down Lists'!$AF$3:$AF$55</definedName>
    <definedName name="outsideinside">[2]Values_supfor!$BF$2:$BF$4</definedName>
    <definedName name="paymethod">'Drop Down Lists'!$O$1:$O$3</definedName>
    <definedName name="paymethodeft" localSheetId="1">'[1]Drop Down Lists'!$O$5:$O$6</definedName>
    <definedName name="paymethodeft">'Drop Down Lists'!$O$5:$O$6</definedName>
    <definedName name="paytermsfill">'VM Team Conditions'!$D$1</definedName>
    <definedName name="QSTYN" localSheetId="1">'[1]Drop Down Lists'!$AC$2:$AC$4</definedName>
    <definedName name="QSTYN">'Drop Down Lists'!$AC$2:$AC$4</definedName>
    <definedName name="reqtype" localSheetId="1">[1]Form!$E$7</definedName>
    <definedName name="reqtype" localSheetId="5">'LN Austria Germany Form'!$E$9</definedName>
    <definedName name="reqtype" localSheetId="3">'LN France Form'!$E$9</definedName>
    <definedName name="reqtype" localSheetId="7">'LN South Africa Form'!$E$9</definedName>
    <definedName name="reqtype">Form!$E$9</definedName>
    <definedName name="requesttype" localSheetId="1">'[1]Drop Down Lists'!#REF!</definedName>
    <definedName name="requesttype">'Drop Down Lists'!#REF!</definedName>
    <definedName name="sortbranchcond1" localSheetId="1">[1]Conditions!$V$1</definedName>
    <definedName name="sortbranchcond1">Conditions!$V$1</definedName>
    <definedName name="sortbranchcond2" localSheetId="1">[1]Conditions!$W$1</definedName>
    <definedName name="sortbranchcond2">Conditions!$W$1</definedName>
    <definedName name="sortbranchreqcond1" localSheetId="1">[1]Conditions!$Y$1</definedName>
    <definedName name="sortbranchreqcond1">Conditions!$Y$1</definedName>
    <definedName name="sortbranchreqcond2" localSheetId="1">[1]Conditions!$Z$1</definedName>
    <definedName name="sortbranchreqcond2">Conditions!$Z$1</definedName>
    <definedName name="spainprov">'Drop Down Lists'!$W$2:$W$54</definedName>
    <definedName name="suppaytype" localSheetId="1">[1]Form!$E$11</definedName>
    <definedName name="suppaytype" localSheetId="5">'LN Austria Germany Form'!$D$17</definedName>
    <definedName name="suppaytype" localSheetId="3">'LN France Form'!$D$17</definedName>
    <definedName name="suppaytype" localSheetId="7">'LN South Africa Form'!$D$17</definedName>
    <definedName name="suppaytype">Form!$D$19</definedName>
    <definedName name="suppliertype">'Drop Down Lists'!$D$1:$D$51</definedName>
    <definedName name="taxcountry" localSheetId="8">'India Registrations - India'!#REF!</definedName>
    <definedName name="taxcountry" localSheetId="1">[1]Form!$G$44</definedName>
    <definedName name="taxcountry" localSheetId="5">'LN Austria Germany Form'!$G$41</definedName>
    <definedName name="taxcountry" localSheetId="3">'LN France Form'!$G$53</definedName>
    <definedName name="taxcountry" localSheetId="7">'LN South Africa Form'!$G$55</definedName>
    <definedName name="taxcountry" localSheetId="9">#REF!</definedName>
    <definedName name="taxcountry">Form!$G$56</definedName>
    <definedName name="usinout" localSheetId="1">[1]Form!$G$47</definedName>
    <definedName name="usinout" localSheetId="5">'LN Austria Germany Form'!#REF!</definedName>
    <definedName name="usinout" localSheetId="3">'LN France Form'!#REF!</definedName>
    <definedName name="usinout" localSheetId="7">'LN South Africa Form'!#REF!</definedName>
    <definedName name="usinout">Form!$G$64</definedName>
    <definedName name="vendorclass">[2]Values_supfor!$BD$2:$BD$41</definedName>
    <definedName name="whtax">'VM Team Conditions'!$G$1</definedName>
    <definedName name="YesNo" localSheetId="8">[2]Values_supfor!$A$2:$A$4</definedName>
    <definedName name="yesno" localSheetId="1">'[1]Drop Down Lists'!$A$1:$A$3</definedName>
    <definedName name="YesNo" localSheetId="9">[2]Values_supfor!$A$2:$A$4</definedName>
    <definedName name="yesno">'Drop Down Lists'!$A$1:$A$3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92" i="23" l="1"/>
  <c r="M89" i="23"/>
  <c r="M85" i="21"/>
  <c r="M117" i="19"/>
  <c r="M170" i="1"/>
  <c r="L32" i="2"/>
  <c r="L33" i="2"/>
  <c r="L34" i="2"/>
  <c r="L35" i="2"/>
  <c r="L36" i="2"/>
  <c r="L37" i="2"/>
  <c r="L38" i="2"/>
  <c r="L39" i="2"/>
  <c r="L40" i="2"/>
  <c r="L41" i="2"/>
  <c r="L42" i="2"/>
  <c r="L43" i="2"/>
  <c r="L44" i="2"/>
  <c r="L45" i="2"/>
  <c r="L46" i="2"/>
  <c r="L47" i="2"/>
  <c r="L48" i="2"/>
  <c r="L49" i="2"/>
  <c r="L31" i="2"/>
  <c r="A57" i="1"/>
  <c r="M57" i="1" s="1"/>
  <c r="A111" i="1" l="1"/>
  <c r="M111" i="1" s="1"/>
  <c r="A110" i="1"/>
  <c r="M110" i="1" s="1"/>
  <c r="M70" i="23" l="1"/>
  <c r="M45" i="23"/>
  <c r="M46" i="23"/>
  <c r="M47" i="23"/>
  <c r="M48" i="23"/>
  <c r="M49" i="23"/>
  <c r="M50" i="23"/>
  <c r="M51" i="23"/>
  <c r="M52" i="23"/>
  <c r="M53" i="23"/>
  <c r="F99" i="23"/>
  <c r="F97" i="23"/>
  <c r="F95" i="23"/>
  <c r="M88" i="23"/>
  <c r="M87" i="23"/>
  <c r="M86" i="23"/>
  <c r="M84" i="23"/>
  <c r="A84" i="23"/>
  <c r="M74" i="23"/>
  <c r="G74" i="23"/>
  <c r="M44" i="23"/>
  <c r="M43" i="23"/>
  <c r="M42" i="23"/>
  <c r="M41" i="23"/>
  <c r="M40" i="23"/>
  <c r="M73" i="23"/>
  <c r="G73" i="23"/>
  <c r="M69" i="23"/>
  <c r="G66" i="23"/>
  <c r="M65" i="23"/>
  <c r="M58" i="23"/>
  <c r="M57" i="23"/>
  <c r="M56" i="23"/>
  <c r="M55" i="23"/>
  <c r="M54" i="23"/>
  <c r="M38" i="23"/>
  <c r="M31" i="23"/>
  <c r="M28" i="23"/>
  <c r="M27" i="23"/>
  <c r="M26" i="23"/>
  <c r="M25" i="23"/>
  <c r="M20" i="23"/>
  <c r="M19" i="23"/>
  <c r="M18" i="23"/>
  <c r="M17" i="23"/>
  <c r="M16" i="23"/>
  <c r="M15" i="23"/>
  <c r="M14" i="23"/>
  <c r="M9" i="23"/>
  <c r="M8" i="23"/>
  <c r="A115" i="1"/>
  <c r="M115" i="1" s="1"/>
  <c r="A116" i="1"/>
  <c r="M116" i="1" s="1"/>
  <c r="A117" i="1"/>
  <c r="M117" i="1" s="1"/>
  <c r="A118" i="1"/>
  <c r="M118" i="1" s="1"/>
  <c r="A114" i="1"/>
  <c r="M114" i="1" s="1"/>
  <c r="B66" i="21" l="1"/>
  <c r="B67" i="21" s="1"/>
  <c r="E1" i="22"/>
  <c r="K3" i="22"/>
  <c r="F2" i="9" a="1"/>
  <c r="F2" i="9" s="1"/>
  <c r="F94" i="21"/>
  <c r="F92" i="21"/>
  <c r="F90" i="21"/>
  <c r="M84" i="21"/>
  <c r="M83" i="21"/>
  <c r="M82" i="21"/>
  <c r="M80" i="21"/>
  <c r="A80" i="21"/>
  <c r="M69" i="21"/>
  <c r="G69" i="21"/>
  <c r="M65" i="21"/>
  <c r="G65" i="21"/>
  <c r="B61" i="21"/>
  <c r="M54" i="21"/>
  <c r="G51" i="21"/>
  <c r="M50" i="21"/>
  <c r="M44" i="21"/>
  <c r="M43" i="21"/>
  <c r="M42" i="21"/>
  <c r="M41" i="21"/>
  <c r="M40" i="21"/>
  <c r="M39" i="21"/>
  <c r="M32" i="21"/>
  <c r="M28" i="21"/>
  <c r="M27" i="21"/>
  <c r="M26" i="21"/>
  <c r="M25" i="21"/>
  <c r="M20" i="21"/>
  <c r="M19" i="21"/>
  <c r="M18" i="21"/>
  <c r="M17" i="21"/>
  <c r="M16" i="21"/>
  <c r="M15" i="21"/>
  <c r="M14" i="21"/>
  <c r="M9" i="21"/>
  <c r="M8" i="21"/>
  <c r="D29" i="9"/>
  <c r="B119" i="1"/>
  <c r="A119" i="1" s="1"/>
  <c r="M119" i="1" s="1"/>
  <c r="F184" i="1"/>
  <c r="E2" i="9" a="1"/>
  <c r="E2" i="9" s="1"/>
  <c r="E1" i="9" s="1"/>
  <c r="F126" i="19" s="1"/>
  <c r="D6" i="9" a="1"/>
  <c r="D6" i="9" s="1"/>
  <c r="M49" i="19"/>
  <c r="M50" i="19"/>
  <c r="M61" i="1"/>
  <c r="M60" i="1"/>
  <c r="L254" i="22" l="1"/>
  <c r="S251" i="2" s="1"/>
  <c r="L255" i="22"/>
  <c r="B86" i="21" s="1"/>
  <c r="L4" i="22"/>
  <c r="B36" i="21" s="1"/>
  <c r="L12" i="22"/>
  <c r="L11" i="22"/>
  <c r="B5" i="21" s="1"/>
  <c r="L5" i="22"/>
  <c r="B38" i="21" s="1"/>
  <c r="L6" i="22"/>
  <c r="B7" i="21" s="1"/>
  <c r="L7" i="22"/>
  <c r="B37" i="21" s="1"/>
  <c r="L10" i="22"/>
  <c r="A2" i="21" s="1"/>
  <c r="L8" i="22"/>
  <c r="L9" i="22"/>
  <c r="L227" i="22"/>
  <c r="L243" i="22"/>
  <c r="L251" i="22"/>
  <c r="B68" i="21" s="1"/>
  <c r="L235" i="22"/>
  <c r="L187" i="22"/>
  <c r="C75" i="2" s="1"/>
  <c r="L99" i="22"/>
  <c r="L105" i="22"/>
  <c r="L219" i="22"/>
  <c r="L195" i="22"/>
  <c r="L171" i="22"/>
  <c r="L155" i="22"/>
  <c r="L139" i="22"/>
  <c r="E49" i="2" s="1"/>
  <c r="L123" i="22"/>
  <c r="L91" i="22"/>
  <c r="L20" i="22"/>
  <c r="L250" i="22"/>
  <c r="E48" i="2" s="1"/>
  <c r="L242" i="22"/>
  <c r="L234" i="22"/>
  <c r="L226" i="22"/>
  <c r="L218" i="22"/>
  <c r="L210" i="22"/>
  <c r="L202" i="22"/>
  <c r="D90" i="2" s="1"/>
  <c r="L194" i="22"/>
  <c r="D83" i="2" s="1"/>
  <c r="L186" i="22"/>
  <c r="C74" i="2" s="1"/>
  <c r="L178" i="22"/>
  <c r="B26" i="21" s="1"/>
  <c r="L170" i="22"/>
  <c r="L162" i="22"/>
  <c r="L154" i="22"/>
  <c r="L146" i="22"/>
  <c r="L138" i="22"/>
  <c r="L130" i="22"/>
  <c r="L122" i="22"/>
  <c r="L114" i="22"/>
  <c r="L106" i="22"/>
  <c r="B88" i="21" s="1"/>
  <c r="L98" i="22"/>
  <c r="L90" i="22"/>
  <c r="L82" i="22"/>
  <c r="L74" i="22"/>
  <c r="L66" i="22"/>
  <c r="L58" i="22"/>
  <c r="B51" i="21" s="1"/>
  <c r="L50" i="22"/>
  <c r="B40" i="21" s="1"/>
  <c r="L42" i="22"/>
  <c r="L35" i="22"/>
  <c r="L27" i="22"/>
  <c r="B14" i="21" s="1"/>
  <c r="L19" i="22"/>
  <c r="L249" i="22"/>
  <c r="E47" i="2" s="1"/>
  <c r="L241" i="22"/>
  <c r="L233" i="22"/>
  <c r="L225" i="22"/>
  <c r="L217" i="22"/>
  <c r="L209" i="22"/>
  <c r="L201" i="22"/>
  <c r="D89" i="2" s="1"/>
  <c r="L193" i="22"/>
  <c r="D82" i="2" s="1"/>
  <c r="L185" i="22"/>
  <c r="C73" i="2" s="1"/>
  <c r="L177" i="22"/>
  <c r="B25" i="21" s="1"/>
  <c r="L169" i="22"/>
  <c r="L161" i="22"/>
  <c r="L153" i="22"/>
  <c r="L145" i="22"/>
  <c r="L137" i="22"/>
  <c r="L129" i="22"/>
  <c r="L121" i="22"/>
  <c r="L113" i="22"/>
  <c r="L97" i="22"/>
  <c r="L89" i="22"/>
  <c r="L81" i="22"/>
  <c r="B71" i="21" s="1"/>
  <c r="L73" i="22"/>
  <c r="L65" i="22"/>
  <c r="L57" i="22"/>
  <c r="L49" i="22"/>
  <c r="B39" i="21" s="1"/>
  <c r="L41" i="22"/>
  <c r="B34" i="21" s="1"/>
  <c r="L34" i="22"/>
  <c r="L26" i="22"/>
  <c r="B19" i="21" s="1"/>
  <c r="L18" i="22"/>
  <c r="L67" i="22"/>
  <c r="L247" i="22"/>
  <c r="E44" i="2" s="1"/>
  <c r="L239" i="22"/>
  <c r="L231" i="22"/>
  <c r="L223" i="22"/>
  <c r="L115" i="2" s="1"/>
  <c r="L215" i="22"/>
  <c r="L207" i="22"/>
  <c r="L199" i="22"/>
  <c r="D88" i="2" s="1"/>
  <c r="L191" i="22"/>
  <c r="C79" i="2" s="1"/>
  <c r="L183" i="22"/>
  <c r="B42" i="21" s="1"/>
  <c r="L175" i="22"/>
  <c r="B52" i="21" s="1"/>
  <c r="L167" i="22"/>
  <c r="L159" i="22"/>
  <c r="L151" i="22"/>
  <c r="L143" i="22"/>
  <c r="L135" i="22"/>
  <c r="E45" i="2" s="1"/>
  <c r="L127" i="22"/>
  <c r="E34" i="2" s="1"/>
  <c r="L119" i="22"/>
  <c r="L111" i="22"/>
  <c r="L103" i="22"/>
  <c r="B84" i="21" s="1"/>
  <c r="L95" i="22"/>
  <c r="L87" i="22"/>
  <c r="B74" i="21" s="1"/>
  <c r="L79" i="22"/>
  <c r="L71" i="22"/>
  <c r="L63" i="22"/>
  <c r="B65" i="21" s="1"/>
  <c r="L55" i="22"/>
  <c r="L47" i="22"/>
  <c r="L39" i="22"/>
  <c r="B32" i="21" s="1"/>
  <c r="L32" i="22"/>
  <c r="L24" i="22"/>
  <c r="L16" i="22"/>
  <c r="L246" i="22"/>
  <c r="E42" i="2" s="1"/>
  <c r="L238" i="22"/>
  <c r="L230" i="22"/>
  <c r="L222" i="22"/>
  <c r="L214" i="22"/>
  <c r="L106" i="2" s="1"/>
  <c r="L206" i="22"/>
  <c r="L98" i="2" s="1"/>
  <c r="L198" i="22"/>
  <c r="D87" i="2" s="1"/>
  <c r="L190" i="22"/>
  <c r="C78" i="2" s="1"/>
  <c r="L182" i="22"/>
  <c r="B16" i="21" s="1"/>
  <c r="L174" i="22"/>
  <c r="L166" i="22"/>
  <c r="L158" i="22"/>
  <c r="L150" i="22"/>
  <c r="A17" i="2" s="1"/>
  <c r="L142" i="22"/>
  <c r="L134" i="22"/>
  <c r="E32" i="2" s="1"/>
  <c r="L126" i="22"/>
  <c r="E38" i="2" s="1"/>
  <c r="L118" i="22"/>
  <c r="L110" i="22"/>
  <c r="L102" i="22"/>
  <c r="B83" i="21" s="1"/>
  <c r="L94" i="22"/>
  <c r="C80" i="21" s="1"/>
  <c r="L86" i="22"/>
  <c r="B73" i="21" s="1"/>
  <c r="L78" i="22"/>
  <c r="L70" i="22"/>
  <c r="L62" i="22"/>
  <c r="B64" i="21" s="1"/>
  <c r="L54" i="22"/>
  <c r="L46" i="22"/>
  <c r="L31" i="22"/>
  <c r="L23" i="22"/>
  <c r="L15" i="22"/>
  <c r="L211" i="22"/>
  <c r="L203" i="22"/>
  <c r="D91" i="2" s="1"/>
  <c r="L179" i="22"/>
  <c r="B27" i="21" s="1"/>
  <c r="L163" i="22"/>
  <c r="L147" i="22"/>
  <c r="L131" i="22"/>
  <c r="E40" i="2" s="1"/>
  <c r="L115" i="22"/>
  <c r="C43" i="2" s="1"/>
  <c r="L107" i="22"/>
  <c r="L83" i="22"/>
  <c r="L75" i="22"/>
  <c r="L59" i="22"/>
  <c r="B55" i="21" s="1"/>
  <c r="L51" i="22"/>
  <c r="B41" i="21" s="1"/>
  <c r="L43" i="22"/>
  <c r="A35" i="21" s="1"/>
  <c r="L36" i="22"/>
  <c r="L28" i="22"/>
  <c r="B15" i="21" s="1"/>
  <c r="A6" i="21"/>
  <c r="L248" i="22"/>
  <c r="E33" i="2" s="1"/>
  <c r="L232" i="22"/>
  <c r="L216" i="22"/>
  <c r="L200" i="22"/>
  <c r="L184" i="22"/>
  <c r="C72" i="2" s="1"/>
  <c r="L168" i="22"/>
  <c r="L152" i="22"/>
  <c r="L136" i="22"/>
  <c r="E46" i="2" s="1"/>
  <c r="L120" i="22"/>
  <c r="L104" i="22"/>
  <c r="B85" i="21" s="1"/>
  <c r="L88" i="22"/>
  <c r="B75" i="21" s="1"/>
  <c r="L72" i="22"/>
  <c r="L56" i="22"/>
  <c r="L40" i="22"/>
  <c r="L25" i="22"/>
  <c r="B18" i="21" s="1"/>
  <c r="L17" i="22"/>
  <c r="L253" i="22"/>
  <c r="N69" i="21" s="1"/>
  <c r="L245" i="22"/>
  <c r="E41" i="2" s="1"/>
  <c r="L237" i="22"/>
  <c r="L229" i="22"/>
  <c r="L221" i="22"/>
  <c r="L213" i="22"/>
  <c r="L205" i="22"/>
  <c r="L197" i="22"/>
  <c r="D86" i="2" s="1"/>
  <c r="L189" i="22"/>
  <c r="C77" i="2" s="1"/>
  <c r="L181" i="22"/>
  <c r="G31" i="2" s="1"/>
  <c r="L173" i="22"/>
  <c r="L165" i="22"/>
  <c r="L157" i="22"/>
  <c r="L149" i="22"/>
  <c r="L141" i="22"/>
  <c r="L133" i="22"/>
  <c r="L125" i="22"/>
  <c r="L117" i="22"/>
  <c r="C45" i="2" s="1"/>
  <c r="L109" i="22"/>
  <c r="L101" i="22"/>
  <c r="B82" i="21" s="1"/>
  <c r="L93" i="22"/>
  <c r="B79" i="21" s="1"/>
  <c r="L85" i="22"/>
  <c r="B72" i="21" s="1"/>
  <c r="L77" i="22"/>
  <c r="L69" i="22"/>
  <c r="L61" i="22"/>
  <c r="B54" i="21" s="1"/>
  <c r="L53" i="22"/>
  <c r="L45" i="22"/>
  <c r="L38" i="22"/>
  <c r="L30" i="22"/>
  <c r="E20" i="21" s="1"/>
  <c r="L22" i="22"/>
  <c r="L14" i="22"/>
  <c r="B9" i="21" s="1"/>
  <c r="L240" i="22"/>
  <c r="L224" i="22"/>
  <c r="L208" i="22"/>
  <c r="L100" i="2" s="1"/>
  <c r="L192" i="22"/>
  <c r="L176" i="22"/>
  <c r="B53" i="21" s="1"/>
  <c r="L160" i="22"/>
  <c r="L144" i="22"/>
  <c r="L128" i="22"/>
  <c r="E36" i="2" s="1"/>
  <c r="L112" i="22"/>
  <c r="B32" i="2" s="1"/>
  <c r="L96" i="22"/>
  <c r="A87" i="21" s="1"/>
  <c r="L80" i="22"/>
  <c r="L64" i="22"/>
  <c r="L48" i="22"/>
  <c r="L33" i="22"/>
  <c r="E22" i="21" s="1"/>
  <c r="L252" i="22"/>
  <c r="L244" i="22"/>
  <c r="E37" i="2" s="1"/>
  <c r="L236" i="22"/>
  <c r="L228" i="22"/>
  <c r="L220" i="22"/>
  <c r="L212" i="22"/>
  <c r="L204" i="22"/>
  <c r="B43" i="21" s="1"/>
  <c r="L196" i="22"/>
  <c r="D85" i="2" s="1"/>
  <c r="L188" i="22"/>
  <c r="C76" i="2" s="1"/>
  <c r="L180" i="22"/>
  <c r="B28" i="21" s="1"/>
  <c r="L172" i="22"/>
  <c r="L164" i="22"/>
  <c r="L156" i="22"/>
  <c r="L148" i="22"/>
  <c r="L140" i="22"/>
  <c r="E50" i="2" s="1"/>
  <c r="L132" i="22"/>
  <c r="E43" i="2" s="1"/>
  <c r="L124" i="22"/>
  <c r="L116" i="22"/>
  <c r="L108" i="22"/>
  <c r="L100" i="22"/>
  <c r="A81" i="21" s="1"/>
  <c r="L92" i="22"/>
  <c r="L84" i="22"/>
  <c r="B69" i="21" s="1"/>
  <c r="L76" i="22"/>
  <c r="L68" i="22"/>
  <c r="L60" i="22"/>
  <c r="B63" i="21" s="1"/>
  <c r="L52" i="22"/>
  <c r="L44" i="22"/>
  <c r="L37" i="22"/>
  <c r="B30" i="21" s="1"/>
  <c r="L29" i="22"/>
  <c r="B20" i="21" s="1"/>
  <c r="L21" i="22"/>
  <c r="B17" i="21" s="1"/>
  <c r="L13" i="22"/>
  <c r="B8" i="21" s="1"/>
  <c r="L3" i="22"/>
  <c r="B4" i="21" s="1"/>
  <c r="A89" i="21"/>
  <c r="C42" i="2"/>
  <c r="D84" i="2"/>
  <c r="E35" i="2"/>
  <c r="A66" i="21"/>
  <c r="M67" i="21" s="1"/>
  <c r="M47" i="19"/>
  <c r="M48" i="19"/>
  <c r="M59" i="1"/>
  <c r="M58" i="1"/>
  <c r="M16" i="19"/>
  <c r="M16" i="1"/>
  <c r="M26" i="19"/>
  <c r="M27" i="19"/>
  <c r="M28" i="19"/>
  <c r="M25" i="19"/>
  <c r="M37" i="1"/>
  <c r="M38" i="1"/>
  <c r="M39" i="1"/>
  <c r="M40" i="1"/>
  <c r="M32" i="19"/>
  <c r="M33" i="19"/>
  <c r="M34" i="19"/>
  <c r="M35" i="19"/>
  <c r="M52" i="19"/>
  <c r="E1" i="20"/>
  <c r="K3" i="20"/>
  <c r="J3" i="20"/>
  <c r="I3" i="20"/>
  <c r="E3" i="20"/>
  <c r="F125" i="19"/>
  <c r="F123" i="19"/>
  <c r="M116" i="19"/>
  <c r="M115" i="19"/>
  <c r="M114" i="19"/>
  <c r="M101" i="19"/>
  <c r="G101" i="19"/>
  <c r="M62" i="19"/>
  <c r="G62" i="19"/>
  <c r="M112" i="19"/>
  <c r="M58" i="19"/>
  <c r="M53" i="19"/>
  <c r="M46" i="19"/>
  <c r="M39" i="19"/>
  <c r="M20" i="19"/>
  <c r="M19" i="19"/>
  <c r="M18" i="19"/>
  <c r="M17" i="19"/>
  <c r="M15" i="19"/>
  <c r="M14" i="19"/>
  <c r="M9" i="19"/>
  <c r="M8" i="19"/>
  <c r="B136" i="1"/>
  <c r="A136" i="1" s="1"/>
  <c r="B137" i="1"/>
  <c r="B54" i="1"/>
  <c r="B53" i="1"/>
  <c r="B52" i="1"/>
  <c r="B164" i="1"/>
  <c r="G2" i="9"/>
  <c r="G3" i="9"/>
  <c r="A170" i="9"/>
  <c r="L107" i="2" l="1"/>
  <c r="L282" i="20"/>
  <c r="B88" i="19" s="1"/>
  <c r="L283" i="20"/>
  <c r="B118" i="19" s="1"/>
  <c r="L102" i="2"/>
  <c r="L108" i="2"/>
  <c r="L97" i="2"/>
  <c r="L103" i="2"/>
  <c r="L101" i="2"/>
  <c r="L114" i="2"/>
  <c r="L105" i="2"/>
  <c r="L113" i="2"/>
  <c r="M8" i="2"/>
  <c r="L96" i="2"/>
  <c r="L110" i="2"/>
  <c r="L104" i="2"/>
  <c r="L109" i="2"/>
  <c r="L112" i="2"/>
  <c r="L99" i="2"/>
  <c r="L111" i="2"/>
  <c r="B21" i="21"/>
  <c r="E39" i="2"/>
  <c r="B49" i="21"/>
  <c r="B60" i="21"/>
  <c r="B24" i="21"/>
  <c r="B30" i="2"/>
  <c r="B59" i="21"/>
  <c r="B48" i="21"/>
  <c r="B12" i="21"/>
  <c r="B31" i="2"/>
  <c r="B10" i="21"/>
  <c r="B45" i="21"/>
  <c r="B56" i="21"/>
  <c r="B46" i="21"/>
  <c r="B57" i="21"/>
  <c r="B70" i="21"/>
  <c r="C44" i="2"/>
  <c r="G32" i="2"/>
  <c r="A19" i="2"/>
  <c r="A18" i="2"/>
  <c r="B33" i="21"/>
  <c r="G30" i="2"/>
  <c r="C71" i="2"/>
  <c r="F35" i="2"/>
  <c r="B103" i="2"/>
  <c r="C41" i="2"/>
  <c r="G29" i="2"/>
  <c r="D81" i="2"/>
  <c r="E31" i="2"/>
  <c r="B29" i="2"/>
  <c r="B50" i="21"/>
  <c r="B62" i="21"/>
  <c r="C46" i="2"/>
  <c r="B13" i="21"/>
  <c r="J38" i="21"/>
  <c r="J7" i="21"/>
  <c r="B58" i="21"/>
  <c r="B47" i="21"/>
  <c r="M66" i="21"/>
  <c r="L274" i="20"/>
  <c r="D35" i="2" s="1"/>
  <c r="L275" i="20"/>
  <c r="D37" i="2" s="1"/>
  <c r="L281" i="20"/>
  <c r="D48" i="2" s="1"/>
  <c r="L276" i="20"/>
  <c r="D41" i="2" s="1"/>
  <c r="L280" i="20"/>
  <c r="D47" i="2" s="1"/>
  <c r="L277" i="20"/>
  <c r="D42" i="2" s="1"/>
  <c r="L278" i="20"/>
  <c r="D44" i="2" s="1"/>
  <c r="L279" i="20"/>
  <c r="D33" i="2" s="1"/>
  <c r="L238" i="20"/>
  <c r="L246" i="20"/>
  <c r="L254" i="20"/>
  <c r="L262" i="20"/>
  <c r="L270" i="20"/>
  <c r="L248" i="20"/>
  <c r="L256" i="20"/>
  <c r="L272" i="20"/>
  <c r="L249" i="20"/>
  <c r="L265" i="20"/>
  <c r="L268" i="20"/>
  <c r="L245" i="20"/>
  <c r="L239" i="20"/>
  <c r="L247" i="20"/>
  <c r="L255" i="20"/>
  <c r="L263" i="20"/>
  <c r="L271" i="20"/>
  <c r="L240" i="20"/>
  <c r="L264" i="20"/>
  <c r="L241" i="20"/>
  <c r="L257" i="20"/>
  <c r="L273" i="20"/>
  <c r="L260" i="20"/>
  <c r="L253" i="20"/>
  <c r="L269" i="20"/>
  <c r="L242" i="20"/>
  <c r="L250" i="20"/>
  <c r="L258" i="20"/>
  <c r="L266" i="20"/>
  <c r="L235" i="20"/>
  <c r="B49" i="19" s="1"/>
  <c r="L243" i="20"/>
  <c r="L251" i="20"/>
  <c r="L259" i="20"/>
  <c r="L267" i="20"/>
  <c r="L236" i="20"/>
  <c r="L244" i="20"/>
  <c r="L252" i="20"/>
  <c r="L237" i="20"/>
  <c r="L261" i="20"/>
  <c r="L217" i="20"/>
  <c r="C63" i="2" s="1"/>
  <c r="L224" i="20"/>
  <c r="D69" i="2" s="1"/>
  <c r="L223" i="20"/>
  <c r="B48" i="19" s="1"/>
  <c r="L230" i="20"/>
  <c r="D75" i="2" s="1"/>
  <c r="L222" i="20"/>
  <c r="C68" i="2" s="1"/>
  <c r="L229" i="20"/>
  <c r="D74" i="2" s="1"/>
  <c r="L234" i="20"/>
  <c r="D78" i="2" s="1"/>
  <c r="L228" i="20"/>
  <c r="D73" i="2" s="1"/>
  <c r="L231" i="20"/>
  <c r="L227" i="20"/>
  <c r="D72" i="2" s="1"/>
  <c r="L226" i="20"/>
  <c r="D71" i="2" s="1"/>
  <c r="L232" i="20"/>
  <c r="D76" i="2" s="1"/>
  <c r="L233" i="20"/>
  <c r="D77" i="2" s="1"/>
  <c r="L225" i="20"/>
  <c r="D70" i="2" s="1"/>
  <c r="L220" i="20"/>
  <c r="C66" i="2" s="1"/>
  <c r="L212" i="20"/>
  <c r="G25" i="2" s="1"/>
  <c r="L221" i="20"/>
  <c r="C67" i="2" s="1"/>
  <c r="L213" i="20"/>
  <c r="B16" i="19" s="1"/>
  <c r="L219" i="20"/>
  <c r="C65" i="2" s="1"/>
  <c r="L211" i="20"/>
  <c r="B28" i="19" s="1"/>
  <c r="L218" i="20"/>
  <c r="C64" i="2" s="1"/>
  <c r="L210" i="20"/>
  <c r="B27" i="19" s="1"/>
  <c r="L216" i="20"/>
  <c r="C62" i="2" s="1"/>
  <c r="L215" i="20"/>
  <c r="C61" i="2" s="1"/>
  <c r="L214" i="20"/>
  <c r="B47" i="19" s="1"/>
  <c r="L206" i="20"/>
  <c r="B60" i="19" s="1"/>
  <c r="L209" i="20"/>
  <c r="B26" i="19" s="1"/>
  <c r="L208" i="20"/>
  <c r="B25" i="19" s="1"/>
  <c r="L207" i="20"/>
  <c r="B61" i="19" s="1"/>
  <c r="L5" i="20"/>
  <c r="B45" i="19" s="1"/>
  <c r="L205" i="20"/>
  <c r="B35" i="19" s="1"/>
  <c r="L202" i="20"/>
  <c r="B33" i="19" s="1"/>
  <c r="L203" i="20"/>
  <c r="B34" i="19" s="1"/>
  <c r="L201" i="20"/>
  <c r="B32" i="19" s="1"/>
  <c r="L204" i="20"/>
  <c r="B36" i="19" s="1"/>
  <c r="L200" i="20"/>
  <c r="C94" i="19" s="1"/>
  <c r="L197" i="20"/>
  <c r="F36" i="19" s="1"/>
  <c r="L199" i="20"/>
  <c r="B81" i="19" s="1"/>
  <c r="L198" i="20"/>
  <c r="B78" i="19" s="1"/>
  <c r="L196" i="20"/>
  <c r="B59" i="19" s="1"/>
  <c r="L189" i="20"/>
  <c r="B95" i="19" s="1"/>
  <c r="L181" i="20"/>
  <c r="B90" i="19" s="1"/>
  <c r="L194" i="20"/>
  <c r="G97" i="19" s="1"/>
  <c r="L186" i="20"/>
  <c r="B71" i="19" s="1"/>
  <c r="L178" i="20"/>
  <c r="B86" i="19" s="1"/>
  <c r="L188" i="20"/>
  <c r="B93" i="19" s="1"/>
  <c r="L187" i="20"/>
  <c r="A98" i="19" s="1"/>
  <c r="L193" i="20"/>
  <c r="B97" i="19" s="1"/>
  <c r="L185" i="20"/>
  <c r="B51" i="19" s="1"/>
  <c r="L177" i="20"/>
  <c r="B85" i="19" s="1"/>
  <c r="L176" i="20"/>
  <c r="B84" i="19" s="1"/>
  <c r="L180" i="20"/>
  <c r="B89" i="19" s="1"/>
  <c r="L195" i="20"/>
  <c r="A100" i="19" s="1"/>
  <c r="L192" i="20"/>
  <c r="B96" i="19" s="1"/>
  <c r="L191" i="20"/>
  <c r="I95" i="19" s="1"/>
  <c r="L183" i="20"/>
  <c r="B92" i="19" s="1"/>
  <c r="L179" i="20"/>
  <c r="B87" i="19" s="1"/>
  <c r="L184" i="20"/>
  <c r="B63" i="19" s="1"/>
  <c r="L190" i="20"/>
  <c r="E95" i="19" s="1"/>
  <c r="L182" i="20"/>
  <c r="B91" i="19" s="1"/>
  <c r="L175" i="20"/>
  <c r="E11" i="2" s="1"/>
  <c r="L58" i="20"/>
  <c r="L113" i="20"/>
  <c r="L50" i="20"/>
  <c r="B72" i="19" s="1"/>
  <c r="L161" i="20"/>
  <c r="L98" i="20"/>
  <c r="L35" i="20"/>
  <c r="L153" i="20"/>
  <c r="L90" i="20"/>
  <c r="B109" i="19" s="1"/>
  <c r="A109" i="19" s="1"/>
  <c r="L27" i="20"/>
  <c r="B14" i="19" s="1"/>
  <c r="L106" i="20"/>
  <c r="B121" i="19" s="1"/>
  <c r="L145" i="20"/>
  <c r="L82" i="20"/>
  <c r="L20" i="20"/>
  <c r="L137" i="20"/>
  <c r="L74" i="20"/>
  <c r="L12" i="20"/>
  <c r="A6" i="19" s="1"/>
  <c r="L121" i="20"/>
  <c r="L168" i="20"/>
  <c r="L42" i="20"/>
  <c r="A122" i="19" s="1"/>
  <c r="L129" i="20"/>
  <c r="L66" i="20"/>
  <c r="L174" i="20"/>
  <c r="L167" i="20"/>
  <c r="L160" i="20"/>
  <c r="L152" i="20"/>
  <c r="L144" i="20"/>
  <c r="L136" i="20"/>
  <c r="D46" i="2" s="1"/>
  <c r="L128" i="20"/>
  <c r="D36" i="2" s="1"/>
  <c r="L120" i="20"/>
  <c r="L112" i="20"/>
  <c r="B9" i="2" s="1"/>
  <c r="L105" i="20"/>
  <c r="B120" i="19" s="1"/>
  <c r="L97" i="20"/>
  <c r="L89" i="20"/>
  <c r="B108" i="19" s="1"/>
  <c r="L81" i="20"/>
  <c r="B103" i="19" s="1"/>
  <c r="A103" i="19" s="1"/>
  <c r="M103" i="19" s="1"/>
  <c r="L73" i="20"/>
  <c r="L65" i="20"/>
  <c r="L57" i="20"/>
  <c r="B77" i="19" s="1"/>
  <c r="L49" i="20"/>
  <c r="B46" i="19" s="1"/>
  <c r="L41" i="20"/>
  <c r="B41" i="19" s="1"/>
  <c r="L34" i="20"/>
  <c r="L19" i="20"/>
  <c r="L11" i="20"/>
  <c r="B5" i="19" s="1"/>
  <c r="L166" i="20"/>
  <c r="L159" i="20"/>
  <c r="L151" i="20"/>
  <c r="L143" i="20"/>
  <c r="L135" i="20"/>
  <c r="L127" i="20"/>
  <c r="D34" i="2" s="1"/>
  <c r="L119" i="20"/>
  <c r="L111" i="20"/>
  <c r="L104" i="20"/>
  <c r="B117" i="19" s="1"/>
  <c r="L96" i="20"/>
  <c r="A119" i="19" s="1"/>
  <c r="L88" i="20"/>
  <c r="B107" i="19" s="1"/>
  <c r="A107" i="19" s="1"/>
  <c r="M107" i="19" s="1"/>
  <c r="L80" i="20"/>
  <c r="L72" i="20"/>
  <c r="L64" i="20"/>
  <c r="L56" i="20"/>
  <c r="B76" i="19" s="1"/>
  <c r="L48" i="20"/>
  <c r="L40" i="20"/>
  <c r="L33" i="20"/>
  <c r="E22" i="19" s="1"/>
  <c r="L26" i="20"/>
  <c r="B19" i="19" s="1"/>
  <c r="L18" i="20"/>
  <c r="L10" i="20"/>
  <c r="A2" i="19" s="1"/>
  <c r="L173" i="20"/>
  <c r="E10" i="2" s="1"/>
  <c r="L165" i="20"/>
  <c r="L158" i="20"/>
  <c r="L150" i="20"/>
  <c r="A6" i="2" s="1"/>
  <c r="L142" i="20"/>
  <c r="L134" i="20"/>
  <c r="D32" i="2" s="1"/>
  <c r="L126" i="20"/>
  <c r="D38" i="2" s="1"/>
  <c r="L118" i="20"/>
  <c r="L110" i="20"/>
  <c r="L103" i="20"/>
  <c r="B116" i="19" s="1"/>
  <c r="L95" i="20"/>
  <c r="L87" i="20"/>
  <c r="B106" i="19" s="1"/>
  <c r="A106" i="19" s="1"/>
  <c r="M106" i="19" s="1"/>
  <c r="L79" i="20"/>
  <c r="L71" i="20"/>
  <c r="L63" i="20"/>
  <c r="L55" i="20"/>
  <c r="L47" i="20"/>
  <c r="L39" i="20"/>
  <c r="B39" i="19" s="1"/>
  <c r="L32" i="20"/>
  <c r="L25" i="20"/>
  <c r="B18" i="19" s="1"/>
  <c r="L17" i="20"/>
  <c r="L9" i="20"/>
  <c r="L172" i="20"/>
  <c r="L157" i="20"/>
  <c r="L149" i="20"/>
  <c r="L141" i="20"/>
  <c r="L133" i="20"/>
  <c r="L125" i="20"/>
  <c r="L117" i="20"/>
  <c r="C38" i="2" s="1"/>
  <c r="L109" i="20"/>
  <c r="L102" i="20"/>
  <c r="B115" i="19" s="1"/>
  <c r="L94" i="20"/>
  <c r="L86" i="20"/>
  <c r="B105" i="19" s="1"/>
  <c r="L78" i="20"/>
  <c r="L70" i="20"/>
  <c r="L62" i="20"/>
  <c r="L54" i="20"/>
  <c r="B75" i="19" s="1"/>
  <c r="L46" i="20"/>
  <c r="L31" i="20"/>
  <c r="L24" i="20"/>
  <c r="L16" i="20"/>
  <c r="L8" i="20"/>
  <c r="L171" i="20"/>
  <c r="L164" i="20"/>
  <c r="L156" i="20"/>
  <c r="L148" i="20"/>
  <c r="L140" i="20"/>
  <c r="D50" i="2" s="1"/>
  <c r="L132" i="20"/>
  <c r="D43" i="2" s="1"/>
  <c r="L124" i="20"/>
  <c r="L116" i="20"/>
  <c r="L108" i="20"/>
  <c r="L101" i="20"/>
  <c r="B114" i="19" s="1"/>
  <c r="L93" i="20"/>
  <c r="B111" i="19" s="1"/>
  <c r="L85" i="20"/>
  <c r="B104" i="19" s="1"/>
  <c r="A104" i="19" s="1"/>
  <c r="M104" i="19" s="1"/>
  <c r="L77" i="20"/>
  <c r="L69" i="20"/>
  <c r="L61" i="20"/>
  <c r="L53" i="20"/>
  <c r="B74" i="19" s="1"/>
  <c r="L45" i="20"/>
  <c r="L38" i="20"/>
  <c r="L30" i="20"/>
  <c r="E20" i="19" s="1"/>
  <c r="L23" i="20"/>
  <c r="L15" i="20"/>
  <c r="L7" i="20"/>
  <c r="B44" i="19" s="1"/>
  <c r="L170" i="20"/>
  <c r="L163" i="20"/>
  <c r="L155" i="20"/>
  <c r="L147" i="20"/>
  <c r="L139" i="20"/>
  <c r="D49" i="2" s="1"/>
  <c r="L131" i="20"/>
  <c r="D40" i="2" s="1"/>
  <c r="L123" i="20"/>
  <c r="L115" i="20"/>
  <c r="C36" i="2" s="1"/>
  <c r="L107" i="20"/>
  <c r="L100" i="20"/>
  <c r="A113" i="19" s="1"/>
  <c r="L92" i="20"/>
  <c r="B110" i="19" s="1"/>
  <c r="A110" i="19" s="1"/>
  <c r="L84" i="20"/>
  <c r="B101" i="19" s="1"/>
  <c r="L76" i="20"/>
  <c r="L68" i="20"/>
  <c r="L60" i="20"/>
  <c r="B70" i="19" s="1"/>
  <c r="L52" i="20"/>
  <c r="B73" i="19" s="1"/>
  <c r="L44" i="20"/>
  <c r="L37" i="20"/>
  <c r="B30" i="19" s="1"/>
  <c r="L29" i="20"/>
  <c r="B20" i="19" s="1"/>
  <c r="L22" i="20"/>
  <c r="L14" i="20"/>
  <c r="B9" i="19" s="1"/>
  <c r="L6" i="20"/>
  <c r="B7" i="19" s="1"/>
  <c r="L169" i="20"/>
  <c r="L162" i="20"/>
  <c r="L154" i="20"/>
  <c r="L146" i="20"/>
  <c r="L138" i="20"/>
  <c r="L130" i="20"/>
  <c r="L122" i="20"/>
  <c r="L114" i="20"/>
  <c r="C35" i="2" s="1"/>
  <c r="L99" i="20"/>
  <c r="L91" i="20"/>
  <c r="L83" i="20"/>
  <c r="L75" i="20"/>
  <c r="L67" i="20"/>
  <c r="L59" i="20"/>
  <c r="L51" i="20"/>
  <c r="B53" i="19" s="1"/>
  <c r="L43" i="20"/>
  <c r="A42" i="19" s="1"/>
  <c r="L36" i="20"/>
  <c r="L28" i="20"/>
  <c r="B15" i="19" s="1"/>
  <c r="L21" i="20"/>
  <c r="B17" i="19" s="1"/>
  <c r="L13" i="20"/>
  <c r="B8" i="19" s="1"/>
  <c r="L3" i="20"/>
  <c r="B4" i="19" s="1"/>
  <c r="L4" i="20"/>
  <c r="B43" i="19" s="1"/>
  <c r="G1" i="9"/>
  <c r="B24" i="19" l="1"/>
  <c r="L82" i="2"/>
  <c r="L86" i="2"/>
  <c r="L87" i="2"/>
  <c r="L91" i="2"/>
  <c r="L83" i="2"/>
  <c r="L84" i="2"/>
  <c r="L89" i="2"/>
  <c r="L90" i="2"/>
  <c r="L92" i="2"/>
  <c r="L76" i="2"/>
  <c r="L78" i="2"/>
  <c r="L80" i="2"/>
  <c r="L75" i="2"/>
  <c r="L93" i="2"/>
  <c r="D68" i="2"/>
  <c r="L74" i="2"/>
  <c r="L81" i="2"/>
  <c r="L79" i="2"/>
  <c r="L85" i="2"/>
  <c r="L88" i="2"/>
  <c r="L77" i="2"/>
  <c r="D39" i="2"/>
  <c r="B21" i="19"/>
  <c r="A21" i="19" s="1"/>
  <c r="M21" i="19" s="1"/>
  <c r="B23" i="21"/>
  <c r="I10" i="21"/>
  <c r="E10" i="21"/>
  <c r="B11" i="21"/>
  <c r="A44" i="19"/>
  <c r="D45" i="2"/>
  <c r="B99" i="2"/>
  <c r="C60" i="2"/>
  <c r="G23" i="2"/>
  <c r="F26" i="2"/>
  <c r="A8" i="2"/>
  <c r="G26" i="2"/>
  <c r="A7" i="2"/>
  <c r="B23" i="19" s="1"/>
  <c r="G24" i="2"/>
  <c r="F78" i="19"/>
  <c r="F98" i="19"/>
  <c r="F81" i="19"/>
  <c r="B112" i="19"/>
  <c r="N77" i="19"/>
  <c r="B62" i="19"/>
  <c r="B64" i="19"/>
  <c r="B52" i="19"/>
  <c r="E8" i="2"/>
  <c r="F124" i="19"/>
  <c r="C37" i="2"/>
  <c r="B102" i="19"/>
  <c r="A102" i="19" s="1"/>
  <c r="M102" i="19" s="1"/>
  <c r="B55" i="19"/>
  <c r="B66" i="19"/>
  <c r="B58" i="19"/>
  <c r="B69" i="19"/>
  <c r="B57" i="19"/>
  <c r="A57" i="19" s="1"/>
  <c r="M57" i="19" s="1"/>
  <c r="B68" i="19"/>
  <c r="B54" i="19"/>
  <c r="B65" i="19"/>
  <c r="B56" i="19"/>
  <c r="B67" i="19"/>
  <c r="E9" i="2"/>
  <c r="J7" i="19"/>
  <c r="J45" i="19"/>
  <c r="B6" i="2"/>
  <c r="D31" i="2"/>
  <c r="C34" i="2"/>
  <c r="B8" i="2"/>
  <c r="B10" i="19"/>
  <c r="B12" i="19"/>
  <c r="A12" i="19" s="1"/>
  <c r="B40" i="19"/>
  <c r="A40" i="19" s="1"/>
  <c r="M40" i="19" s="1"/>
  <c r="A30" i="19"/>
  <c r="M30" i="19" s="1"/>
  <c r="B7" i="2"/>
  <c r="A24" i="19"/>
  <c r="M24" i="19" s="1"/>
  <c r="B13" i="19"/>
  <c r="A13" i="19" s="1"/>
  <c r="C39" i="2"/>
  <c r="E1" i="5"/>
  <c r="L106" i="5" s="1"/>
  <c r="D27" i="2"/>
  <c r="B109" i="1"/>
  <c r="B107" i="1"/>
  <c r="B73" i="1"/>
  <c r="B108" i="1"/>
  <c r="L114" i="5" l="1"/>
  <c r="L122" i="5"/>
  <c r="L130" i="5"/>
  <c r="L138" i="5"/>
  <c r="L146" i="5"/>
  <c r="L154" i="5"/>
  <c r="L162" i="5"/>
  <c r="A27" i="9" s="1"/>
  <c r="L170" i="5"/>
  <c r="A33" i="9" s="1"/>
  <c r="L178" i="5"/>
  <c r="L186" i="5"/>
  <c r="L194" i="5"/>
  <c r="L202" i="5"/>
  <c r="L210" i="5"/>
  <c r="L218" i="5"/>
  <c r="L226" i="5"/>
  <c r="L234" i="5"/>
  <c r="L242" i="5"/>
  <c r="L250" i="5"/>
  <c r="L258" i="5"/>
  <c r="L136" i="5"/>
  <c r="L160" i="5"/>
  <c r="L200" i="5"/>
  <c r="D61" i="2" s="1"/>
  <c r="L248" i="5"/>
  <c r="D14" i="2" s="1"/>
  <c r="L129" i="5"/>
  <c r="L169" i="5"/>
  <c r="L209" i="5"/>
  <c r="L249" i="5"/>
  <c r="L107" i="5"/>
  <c r="L115" i="5"/>
  <c r="L123" i="5"/>
  <c r="L131" i="5"/>
  <c r="L139" i="5"/>
  <c r="L147" i="5"/>
  <c r="L155" i="5"/>
  <c r="L163" i="5"/>
  <c r="L171" i="5"/>
  <c r="L179" i="5"/>
  <c r="B26" i="23" s="1"/>
  <c r="L187" i="5"/>
  <c r="C52" i="2" s="1"/>
  <c r="L195" i="5"/>
  <c r="D56" i="2" s="1"/>
  <c r="L203" i="5"/>
  <c r="D63" i="2" s="1"/>
  <c r="L211" i="5"/>
  <c r="L219" i="5"/>
  <c r="L227" i="5"/>
  <c r="L235" i="5"/>
  <c r="L243" i="5"/>
  <c r="L251" i="5"/>
  <c r="D18" i="2" s="1"/>
  <c r="L112" i="5"/>
  <c r="L192" i="5"/>
  <c r="C57" i="2" s="1"/>
  <c r="L232" i="5"/>
  <c r="L137" i="5"/>
  <c r="L177" i="5"/>
  <c r="B68" i="23" s="1"/>
  <c r="L217" i="5"/>
  <c r="L257" i="5"/>
  <c r="B25" i="23" s="1"/>
  <c r="L108" i="5"/>
  <c r="L116" i="5"/>
  <c r="L124" i="5"/>
  <c r="L132" i="5"/>
  <c r="L140" i="5"/>
  <c r="L148" i="5"/>
  <c r="L156" i="5"/>
  <c r="L164" i="5"/>
  <c r="L172" i="5"/>
  <c r="L180" i="5"/>
  <c r="B27" i="23" s="1"/>
  <c r="L188" i="5"/>
  <c r="C53" i="2" s="1"/>
  <c r="L196" i="5"/>
  <c r="L204" i="5"/>
  <c r="L212" i="5"/>
  <c r="L220" i="5"/>
  <c r="L228" i="5"/>
  <c r="L236" i="5"/>
  <c r="L244" i="5"/>
  <c r="D5" i="2" s="1"/>
  <c r="L252" i="5"/>
  <c r="L144" i="5"/>
  <c r="L152" i="5"/>
  <c r="L184" i="5"/>
  <c r="L216" i="5"/>
  <c r="L113" i="5"/>
  <c r="L153" i="5"/>
  <c r="L193" i="5"/>
  <c r="B57" i="23" s="1"/>
  <c r="L233" i="5"/>
  <c r="L61" i="2" s="1"/>
  <c r="L109" i="5"/>
  <c r="L117" i="5"/>
  <c r="L125" i="5"/>
  <c r="L133" i="5"/>
  <c r="L141" i="5"/>
  <c r="L149" i="5"/>
  <c r="L157" i="5"/>
  <c r="L165" i="5"/>
  <c r="L173" i="5"/>
  <c r="L181" i="5"/>
  <c r="L189" i="5"/>
  <c r="L197" i="5"/>
  <c r="D58" i="2" s="1"/>
  <c r="L205" i="5"/>
  <c r="L213" i="5"/>
  <c r="L60" i="2" s="1"/>
  <c r="L221" i="5"/>
  <c r="L229" i="5"/>
  <c r="L57" i="2" s="1"/>
  <c r="L237" i="5"/>
  <c r="L245" i="5"/>
  <c r="L253" i="5"/>
  <c r="L128" i="5"/>
  <c r="L168" i="5"/>
  <c r="L208" i="5"/>
  <c r="L240" i="5"/>
  <c r="L121" i="5"/>
  <c r="L161" i="5"/>
  <c r="L201" i="5"/>
  <c r="L241" i="5"/>
  <c r="L110" i="5"/>
  <c r="L118" i="5"/>
  <c r="L126" i="5"/>
  <c r="L134" i="5"/>
  <c r="B133" i="1" s="1"/>
  <c r="A133" i="1" s="1"/>
  <c r="M133" i="1" s="1"/>
  <c r="L142" i="5"/>
  <c r="L150" i="5"/>
  <c r="L158" i="5"/>
  <c r="L166" i="5"/>
  <c r="L174" i="5"/>
  <c r="E3" i="2" s="1"/>
  <c r="L182" i="5"/>
  <c r="G19" i="2" s="1"/>
  <c r="L190" i="5"/>
  <c r="C55" i="2" s="1"/>
  <c r="L198" i="5"/>
  <c r="D59" i="2" s="1"/>
  <c r="L206" i="5"/>
  <c r="L214" i="5"/>
  <c r="L222" i="5"/>
  <c r="L230" i="5"/>
  <c r="L238" i="5"/>
  <c r="L246" i="5"/>
  <c r="D11" i="2" s="1"/>
  <c r="L254" i="5"/>
  <c r="L111" i="5"/>
  <c r="L119" i="5"/>
  <c r="L127" i="5"/>
  <c r="L135" i="5"/>
  <c r="L143" i="5"/>
  <c r="L151" i="5"/>
  <c r="L159" i="5"/>
  <c r="L167" i="5"/>
  <c r="L175" i="5"/>
  <c r="L183" i="5"/>
  <c r="B16" i="23" s="1"/>
  <c r="L191" i="5"/>
  <c r="L199" i="5"/>
  <c r="L207" i="5"/>
  <c r="L215" i="5"/>
  <c r="L223" i="5"/>
  <c r="L231" i="5"/>
  <c r="L59" i="2" s="1"/>
  <c r="L239" i="5"/>
  <c r="L247" i="5"/>
  <c r="D12" i="2" s="1"/>
  <c r="L255" i="5"/>
  <c r="L120" i="5"/>
  <c r="L176" i="5"/>
  <c r="L224" i="5"/>
  <c r="L256" i="5"/>
  <c r="E22" i="23" s="1"/>
  <c r="L145" i="5"/>
  <c r="L185" i="5"/>
  <c r="C50" i="2" s="1"/>
  <c r="L225" i="5"/>
  <c r="N73" i="23"/>
  <c r="A68" i="21"/>
  <c r="M68" i="21" s="1"/>
  <c r="D3" i="2"/>
  <c r="D17" i="2"/>
  <c r="D7" i="2"/>
  <c r="L58" i="2"/>
  <c r="D62" i="2"/>
  <c r="D55" i="2"/>
  <c r="C56" i="2"/>
  <c r="B56" i="23"/>
  <c r="D60" i="2"/>
  <c r="C51" i="2"/>
  <c r="C54" i="2"/>
  <c r="D64" i="2"/>
  <c r="D57" i="2"/>
  <c r="B28" i="23"/>
  <c r="L101" i="5"/>
  <c r="A85" i="23" s="1"/>
  <c r="L42" i="5"/>
  <c r="B33" i="23" s="1"/>
  <c r="B67" i="23"/>
  <c r="B11" i="19"/>
  <c r="I10" i="19"/>
  <c r="E10" i="19"/>
  <c r="A10" i="19"/>
  <c r="A40" i="9"/>
  <c r="A32" i="9"/>
  <c r="L68" i="2" l="1"/>
  <c r="L53" i="2"/>
  <c r="B171" i="1"/>
  <c r="B90" i="23"/>
  <c r="L54" i="2"/>
  <c r="L67" i="2"/>
  <c r="L71" i="2"/>
  <c r="L69" i="2"/>
  <c r="L70" i="2"/>
  <c r="L62" i="2"/>
  <c r="L63" i="2"/>
  <c r="L65" i="2"/>
  <c r="L56" i="2"/>
  <c r="L66" i="2"/>
  <c r="L55" i="2"/>
  <c r="L64" i="2"/>
  <c r="A37" i="21"/>
  <c r="A36" i="23"/>
  <c r="B59" i="1"/>
  <c r="B16" i="1"/>
  <c r="B38" i="1"/>
  <c r="B37" i="1"/>
  <c r="B60" i="1"/>
  <c r="B40" i="1"/>
  <c r="B39" i="1"/>
  <c r="B58" i="1"/>
  <c r="B79" i="1"/>
  <c r="B80" i="1"/>
  <c r="M11" i="19"/>
  <c r="M10" i="19"/>
  <c r="M12" i="19"/>
  <c r="E2" i="2"/>
  <c r="K5" i="3"/>
  <c r="A15" i="9"/>
  <c r="C30" i="2"/>
  <c r="A26" i="9"/>
  <c r="C31" i="2"/>
  <c r="E21" i="3" l="1"/>
  <c r="B104" i="1" l="1"/>
  <c r="D4" i="2" l="1"/>
  <c r="A12" i="9" l="1"/>
  <c r="A11" i="9"/>
  <c r="B71" i="1"/>
  <c r="B106" i="1" l="1"/>
  <c r="A106" i="1" s="1"/>
  <c r="M106" i="1" s="1"/>
  <c r="B105" i="1"/>
  <c r="A105" i="1" s="1"/>
  <c r="M105" i="1" s="1"/>
  <c r="B152" i="1"/>
  <c r="A152" i="1" s="1"/>
  <c r="AI7" i="3"/>
  <c r="AI8" i="3"/>
  <c r="B147" i="1" l="1"/>
  <c r="B165" i="1"/>
  <c r="B162" i="1"/>
  <c r="B161" i="1"/>
  <c r="B156" i="1"/>
  <c r="B155" i="1"/>
  <c r="B151" i="1"/>
  <c r="M160" i="1"/>
  <c r="A160" i="1"/>
  <c r="B163" i="1"/>
  <c r="AE45" i="3"/>
  <c r="AE44" i="3"/>
  <c r="AE43" i="3"/>
  <c r="AE42" i="3"/>
  <c r="AE41" i="3"/>
  <c r="AE40" i="3"/>
  <c r="AE39" i="3"/>
  <c r="AE38" i="3"/>
  <c r="AE37" i="3"/>
  <c r="AE36" i="3"/>
  <c r="AE35" i="3"/>
  <c r="AE34" i="3"/>
  <c r="AE33" i="3"/>
  <c r="AE32" i="3"/>
  <c r="AE31" i="3"/>
  <c r="AE30" i="3"/>
  <c r="AE29" i="3"/>
  <c r="AE28" i="3"/>
  <c r="AE27" i="3"/>
  <c r="AE26" i="3"/>
  <c r="AE25" i="3"/>
  <c r="AE24" i="3"/>
  <c r="AE23" i="3"/>
  <c r="AE22" i="3"/>
  <c r="AE21" i="3"/>
  <c r="AE20" i="3"/>
  <c r="AE19" i="3"/>
  <c r="AE18" i="3"/>
  <c r="AE17" i="3"/>
  <c r="AE16" i="3"/>
  <c r="AE15" i="3"/>
  <c r="AE14" i="3"/>
  <c r="AE13" i="3"/>
  <c r="AE12" i="3"/>
  <c r="AE11" i="3"/>
  <c r="AE10" i="3"/>
  <c r="AE9" i="3"/>
  <c r="AE8" i="3"/>
  <c r="AE7" i="3"/>
  <c r="AE6" i="3"/>
  <c r="AE5" i="3"/>
  <c r="AE4" i="3"/>
  <c r="AE3" i="3"/>
  <c r="AE2" i="3"/>
  <c r="AB62" i="3"/>
  <c r="AB61" i="3"/>
  <c r="AB60" i="3"/>
  <c r="AB59" i="3"/>
  <c r="AB58" i="3"/>
  <c r="AB57" i="3"/>
  <c r="AB56" i="3"/>
  <c r="AB55" i="3"/>
  <c r="AB54" i="3"/>
  <c r="AB53" i="3"/>
  <c r="AB52" i="3"/>
  <c r="AB51" i="3"/>
  <c r="AB50" i="3"/>
  <c r="AB49" i="3"/>
  <c r="AB48" i="3"/>
  <c r="AB47" i="3"/>
  <c r="AB46" i="3"/>
  <c r="AB45" i="3"/>
  <c r="AB44" i="3"/>
  <c r="AB43" i="3"/>
  <c r="AB42" i="3"/>
  <c r="AB41" i="3"/>
  <c r="AB40" i="3"/>
  <c r="AB39" i="3"/>
  <c r="AB38" i="3"/>
  <c r="AB37" i="3"/>
  <c r="AB36" i="3"/>
  <c r="AB35" i="3"/>
  <c r="AB34" i="3"/>
  <c r="AB33" i="3"/>
  <c r="AB32" i="3"/>
  <c r="AB31" i="3"/>
  <c r="AB30" i="3"/>
  <c r="AB29" i="3"/>
  <c r="AB28" i="3"/>
  <c r="AB27" i="3"/>
  <c r="AB26" i="3"/>
  <c r="AB25" i="3"/>
  <c r="AB24" i="3"/>
  <c r="AB23" i="3"/>
  <c r="AB22" i="3"/>
  <c r="AB21" i="3"/>
  <c r="AB20" i="3"/>
  <c r="AB19" i="3"/>
  <c r="AB18" i="3"/>
  <c r="AB17" i="3"/>
  <c r="AB16" i="3"/>
  <c r="AB15" i="3"/>
  <c r="AB14" i="3"/>
  <c r="AB13" i="3"/>
  <c r="AB12" i="3"/>
  <c r="AB11" i="3"/>
  <c r="AB10" i="3"/>
  <c r="AB9" i="3"/>
  <c r="AB8" i="3"/>
  <c r="AB7" i="3"/>
  <c r="AB6" i="3"/>
  <c r="AB5" i="3"/>
  <c r="AB4" i="3"/>
  <c r="AB3" i="3"/>
  <c r="AB2" i="3"/>
  <c r="Y47" i="3"/>
  <c r="Y46" i="3"/>
  <c r="Y45" i="3"/>
  <c r="Y44" i="3"/>
  <c r="Y43" i="3"/>
  <c r="Y42" i="3"/>
  <c r="Y41" i="3"/>
  <c r="Y40" i="3"/>
  <c r="Y39" i="3"/>
  <c r="Y38" i="3"/>
  <c r="Y37" i="3"/>
  <c r="Y36" i="3"/>
  <c r="Y35" i="3"/>
  <c r="Y34" i="3"/>
  <c r="Y33" i="3"/>
  <c r="Y32" i="3"/>
  <c r="Y31" i="3"/>
  <c r="Y30" i="3"/>
  <c r="Y29" i="3"/>
  <c r="Y28" i="3"/>
  <c r="Y27" i="3"/>
  <c r="Y26" i="3"/>
  <c r="Y25" i="3"/>
  <c r="Y24" i="3"/>
  <c r="Y23" i="3"/>
  <c r="Y22" i="3"/>
  <c r="Y21" i="3"/>
  <c r="Y20" i="3"/>
  <c r="Y19" i="3"/>
  <c r="Y18" i="3"/>
  <c r="Y17" i="3"/>
  <c r="Y16" i="3"/>
  <c r="Y15" i="3"/>
  <c r="Y14" i="3"/>
  <c r="Y13" i="3"/>
  <c r="Y12" i="3"/>
  <c r="Y11" i="3"/>
  <c r="Y10" i="3"/>
  <c r="Y9" i="3"/>
  <c r="Y8" i="3"/>
  <c r="Y7" i="3"/>
  <c r="Y6" i="3"/>
  <c r="Y5" i="3"/>
  <c r="Y3" i="3"/>
  <c r="Y2" i="3"/>
  <c r="V59" i="3"/>
  <c r="V58" i="3"/>
  <c r="V57" i="3"/>
  <c r="V56" i="3"/>
  <c r="V55" i="3"/>
  <c r="V54" i="3"/>
  <c r="V53" i="3"/>
  <c r="V52" i="3"/>
  <c r="V51" i="3"/>
  <c r="V50" i="3"/>
  <c r="V49" i="3"/>
  <c r="V48" i="3"/>
  <c r="V47" i="3"/>
  <c r="V46" i="3"/>
  <c r="V45" i="3"/>
  <c r="V44" i="3"/>
  <c r="V43" i="3"/>
  <c r="V42" i="3"/>
  <c r="V41" i="3"/>
  <c r="V40" i="3"/>
  <c r="V39" i="3"/>
  <c r="V38" i="3"/>
  <c r="V37" i="3"/>
  <c r="V36" i="3"/>
  <c r="V35" i="3"/>
  <c r="V34" i="3"/>
  <c r="V33" i="3"/>
  <c r="V32" i="3"/>
  <c r="V31" i="3"/>
  <c r="V30" i="3"/>
  <c r="V29" i="3"/>
  <c r="V28" i="3"/>
  <c r="V27" i="3"/>
  <c r="V26" i="3"/>
  <c r="V25" i="3"/>
  <c r="V24" i="3"/>
  <c r="V23" i="3"/>
  <c r="V22" i="3"/>
  <c r="V21" i="3"/>
  <c r="V20" i="3"/>
  <c r="V19" i="3"/>
  <c r="V18" i="3"/>
  <c r="V17" i="3"/>
  <c r="V16" i="3"/>
  <c r="V15" i="3"/>
  <c r="V14" i="3"/>
  <c r="V13" i="3"/>
  <c r="V12" i="3"/>
  <c r="V11" i="3"/>
  <c r="V10" i="3"/>
  <c r="V9" i="3"/>
  <c r="V8" i="3"/>
  <c r="V7" i="3"/>
  <c r="V6" i="3"/>
  <c r="V5" i="3"/>
  <c r="V3" i="3"/>
  <c r="V2" i="3"/>
  <c r="R13" i="3"/>
  <c r="R12" i="3"/>
  <c r="R11" i="3"/>
  <c r="R10" i="3"/>
  <c r="R9" i="3"/>
  <c r="R8" i="3"/>
  <c r="R7" i="3"/>
  <c r="R5" i="3"/>
  <c r="R4" i="3"/>
  <c r="R3" i="3"/>
  <c r="R2" i="3"/>
  <c r="R6" i="3"/>
  <c r="B129" i="1" l="1"/>
  <c r="A129" i="1" s="1"/>
  <c r="G109" i="1"/>
  <c r="A109" i="1"/>
  <c r="M109" i="1" s="1"/>
  <c r="G107" i="1"/>
  <c r="B74" i="1"/>
  <c r="A74" i="1" s="1"/>
  <c r="M74" i="1" s="1"/>
  <c r="M129" i="1" l="1"/>
  <c r="E20" i="3"/>
  <c r="M174" i="1" l="1"/>
  <c r="M172" i="1"/>
  <c r="M169" i="1"/>
  <c r="M168" i="1"/>
  <c r="M167" i="1"/>
  <c r="M140" i="1" l="1"/>
  <c r="M130" i="1"/>
  <c r="M93" i="1"/>
  <c r="M81" i="1"/>
  <c r="M75" i="1"/>
  <c r="M56" i="1"/>
  <c r="M55" i="1"/>
  <c r="M54" i="1"/>
  <c r="M53" i="1"/>
  <c r="M52" i="1"/>
  <c r="M51" i="1"/>
  <c r="M44" i="1"/>
  <c r="M32" i="1"/>
  <c r="M18" i="1"/>
  <c r="M17" i="1"/>
  <c r="M15" i="1"/>
  <c r="M14" i="1"/>
  <c r="M31" i="1"/>
  <c r="M28" i="1"/>
  <c r="M8" i="1"/>
  <c r="M9" i="1"/>
  <c r="M19" i="1"/>
  <c r="A161" i="1" l="1"/>
  <c r="M161" i="1" s="1"/>
  <c r="A147" i="1"/>
  <c r="M147" i="1" s="1"/>
  <c r="B90" i="1" l="1"/>
  <c r="A90" i="1" s="1"/>
  <c r="B88" i="1"/>
  <c r="A38" i="9" l="1"/>
  <c r="A39" i="9"/>
  <c r="B150" i="1"/>
  <c r="A150" i="1" s="1"/>
  <c r="M150" i="1" s="1"/>
  <c r="A1" i="2"/>
  <c r="B148" i="1"/>
  <c r="A148" i="1" s="1"/>
  <c r="M148" i="1" s="1"/>
  <c r="B149" i="1"/>
  <c r="A149" i="1" s="1"/>
  <c r="M149" i="1" s="1"/>
  <c r="C5" i="2"/>
  <c r="D13" i="2"/>
  <c r="L10" i="5"/>
  <c r="A2" i="23" s="1"/>
  <c r="L66" i="5"/>
  <c r="L8" i="5"/>
  <c r="L32" i="5"/>
  <c r="L34" i="5"/>
  <c r="L31" i="5"/>
  <c r="B123" i="1"/>
  <c r="B121" i="1"/>
  <c r="L23" i="5"/>
  <c r="D15" i="2"/>
  <c r="L95" i="5"/>
  <c r="C84" i="23" s="1"/>
  <c r="L20" i="5"/>
  <c r="B93" i="23"/>
  <c r="L18" i="5"/>
  <c r="L6" i="5"/>
  <c r="B7" i="23" s="1"/>
  <c r="L30" i="5"/>
  <c r="E20" i="23" s="1"/>
  <c r="L33" i="5"/>
  <c r="L37" i="5"/>
  <c r="B30" i="23" s="1"/>
  <c r="D20" i="2"/>
  <c r="L96" i="5"/>
  <c r="L38" i="5"/>
  <c r="L60" i="5"/>
  <c r="L7" i="5"/>
  <c r="B36" i="23" s="1"/>
  <c r="L9" i="5"/>
  <c r="L22" i="5"/>
  <c r="B27" i="1"/>
  <c r="F3" i="2"/>
  <c r="L46" i="5"/>
  <c r="D19" i="2"/>
  <c r="D16" i="2"/>
  <c r="D2" i="2"/>
  <c r="D10" i="2"/>
  <c r="L45" i="5"/>
  <c r="S4" i="2"/>
  <c r="O6" i="2"/>
  <c r="G3" i="2"/>
  <c r="C2" i="2"/>
  <c r="C3" i="2"/>
  <c r="L52" i="2"/>
  <c r="B4" i="2"/>
  <c r="L92" i="5"/>
  <c r="L11" i="5"/>
  <c r="B5" i="23" s="1"/>
  <c r="L15" i="5"/>
  <c r="L19" i="5"/>
  <c r="L26" i="5"/>
  <c r="B19" i="23" s="1"/>
  <c r="L29" i="5"/>
  <c r="B20" i="23" s="1"/>
  <c r="L36" i="5"/>
  <c r="L44" i="5"/>
  <c r="A34" i="23" s="1"/>
  <c r="L50" i="5"/>
  <c r="B38" i="23" s="1"/>
  <c r="L54" i="5"/>
  <c r="B61" i="23" s="1"/>
  <c r="L58" i="5"/>
  <c r="B65" i="23" s="1"/>
  <c r="L63" i="5"/>
  <c r="B72" i="23" s="1"/>
  <c r="L68" i="5"/>
  <c r="L72" i="5"/>
  <c r="L76" i="5"/>
  <c r="L80" i="5"/>
  <c r="L84" i="5"/>
  <c r="L89" i="5"/>
  <c r="L93" i="5"/>
  <c r="L99" i="5"/>
  <c r="L104" i="5"/>
  <c r="B88" i="23" s="1"/>
  <c r="L40" i="5"/>
  <c r="B31" i="23" s="1"/>
  <c r="L14" i="5"/>
  <c r="B9" i="23" s="1"/>
  <c r="L25" i="5"/>
  <c r="B18" i="23" s="1"/>
  <c r="L35" i="5"/>
  <c r="L49" i="5"/>
  <c r="L57" i="5"/>
  <c r="B64" i="23" s="1"/>
  <c r="A64" i="23" s="1"/>
  <c r="M64" i="23" s="1"/>
  <c r="L67" i="5"/>
  <c r="L75" i="5"/>
  <c r="L83" i="5"/>
  <c r="L88" i="5"/>
  <c r="L98" i="5"/>
  <c r="G20" i="2"/>
  <c r="L5" i="5"/>
  <c r="B37" i="23" s="1"/>
  <c r="L12" i="5"/>
  <c r="A6" i="23" s="1"/>
  <c r="L16" i="5"/>
  <c r="L21" i="5"/>
  <c r="B17" i="23" s="1"/>
  <c r="L39" i="5"/>
  <c r="L47" i="5"/>
  <c r="L51" i="5"/>
  <c r="B54" i="23" s="1"/>
  <c r="L55" i="5"/>
  <c r="B62" i="23" s="1"/>
  <c r="L59" i="5"/>
  <c r="B66" i="23" s="1"/>
  <c r="L64" i="5"/>
  <c r="B73" i="23" s="1"/>
  <c r="L69" i="5"/>
  <c r="L73" i="5"/>
  <c r="L77" i="5"/>
  <c r="L81" i="5"/>
  <c r="L85" i="5"/>
  <c r="B74" i="23" s="1"/>
  <c r="L86" i="5"/>
  <c r="L90" i="5"/>
  <c r="L94" i="5"/>
  <c r="B83" i="23" s="1"/>
  <c r="L100" i="5"/>
  <c r="L105" i="5"/>
  <c r="L28" i="5"/>
  <c r="B15" i="23" s="1"/>
  <c r="L43" i="5"/>
  <c r="A94" i="23" s="1"/>
  <c r="L53" i="5"/>
  <c r="B60" i="23" s="1"/>
  <c r="L62" i="5"/>
  <c r="B69" i="23" s="1"/>
  <c r="L71" i="5"/>
  <c r="L79" i="5"/>
  <c r="L103" i="5"/>
  <c r="B87" i="23" s="1"/>
  <c r="L13" i="5"/>
  <c r="B8" i="23" s="1"/>
  <c r="L17" i="5"/>
  <c r="L24" i="5"/>
  <c r="L27" i="5"/>
  <c r="B14" i="23" s="1"/>
  <c r="L41" i="5"/>
  <c r="L48" i="5"/>
  <c r="L52" i="5"/>
  <c r="B55" i="23" s="1"/>
  <c r="L56" i="5"/>
  <c r="B63" i="23" s="1"/>
  <c r="L61" i="5"/>
  <c r="B70" i="23" s="1"/>
  <c r="L65" i="5"/>
  <c r="L70" i="5"/>
  <c r="L74" i="5"/>
  <c r="L78" i="5"/>
  <c r="L82" i="5"/>
  <c r="B76" i="23" s="1"/>
  <c r="A76" i="23" s="1"/>
  <c r="M76" i="23" s="1"/>
  <c r="L87" i="5"/>
  <c r="B78" i="23" s="1"/>
  <c r="L91" i="5"/>
  <c r="L97" i="5"/>
  <c r="A91" i="23" s="1"/>
  <c r="L102" i="5"/>
  <c r="B86" i="23" s="1"/>
  <c r="A164" i="1"/>
  <c r="M164" i="1" s="1"/>
  <c r="B103" i="1"/>
  <c r="A103" i="1" s="1"/>
  <c r="M103" i="1" s="1"/>
  <c r="B170" i="1" l="1"/>
  <c r="B89" i="23"/>
  <c r="A24" i="21"/>
  <c r="M24" i="21" s="1"/>
  <c r="B24" i="23"/>
  <c r="A24" i="23" s="1"/>
  <c r="M24" i="23" s="1"/>
  <c r="B75" i="23"/>
  <c r="A75" i="23" s="1"/>
  <c r="M75" i="23" s="1"/>
  <c r="A75" i="21"/>
  <c r="M75" i="21" s="1"/>
  <c r="B80" i="23"/>
  <c r="A80" i="23" s="1"/>
  <c r="M80" i="23" s="1"/>
  <c r="A74" i="21"/>
  <c r="M74" i="21" s="1"/>
  <c r="B79" i="23"/>
  <c r="A79" i="23" s="1"/>
  <c r="M79" i="23" s="1"/>
  <c r="J7" i="23"/>
  <c r="J37" i="23"/>
  <c r="B21" i="23"/>
  <c r="A21" i="23" s="1"/>
  <c r="M21" i="23" s="1"/>
  <c r="A72" i="21"/>
  <c r="M72" i="21" s="1"/>
  <c r="B77" i="23"/>
  <c r="A77" i="23" s="1"/>
  <c r="M77" i="23" s="1"/>
  <c r="B12" i="23"/>
  <c r="A12" i="23" s="1"/>
  <c r="B10" i="23"/>
  <c r="F91" i="21"/>
  <c r="F96" i="23"/>
  <c r="B32" i="23"/>
  <c r="A32" i="23" s="1"/>
  <c r="M32" i="23" s="1"/>
  <c r="A30" i="23"/>
  <c r="M30" i="23" s="1"/>
  <c r="A13" i="21"/>
  <c r="B13" i="23"/>
  <c r="A13" i="23" s="1"/>
  <c r="B157" i="1"/>
  <c r="B83" i="1"/>
  <c r="E34" i="1"/>
  <c r="C160" i="1"/>
  <c r="J7" i="1"/>
  <c r="B7" i="1"/>
  <c r="B86" i="1"/>
  <c r="G18" i="2"/>
  <c r="A33" i="21"/>
  <c r="M33" i="21" s="1"/>
  <c r="A30" i="21"/>
  <c r="M30" i="21" s="1"/>
  <c r="D9" i="2"/>
  <c r="A21" i="21"/>
  <c r="M21" i="21" s="1"/>
  <c r="B82" i="1"/>
  <c r="B175" i="1"/>
  <c r="B49" i="1"/>
  <c r="B159" i="1"/>
  <c r="B87" i="1"/>
  <c r="A49" i="21"/>
  <c r="M49" i="21" s="1"/>
  <c r="B89" i="1"/>
  <c r="A70" i="21"/>
  <c r="M70" i="21" s="1"/>
  <c r="N95" i="1"/>
  <c r="A12" i="21"/>
  <c r="B142" i="1"/>
  <c r="A142" i="1" s="1"/>
  <c r="M142" i="1" s="1"/>
  <c r="A71" i="21"/>
  <c r="M71" i="21" s="1"/>
  <c r="B84" i="1"/>
  <c r="B176" i="1"/>
  <c r="B85" i="1"/>
  <c r="B42" i="1"/>
  <c r="AH15" i="3"/>
  <c r="AI15" i="3" s="1"/>
  <c r="D6" i="2"/>
  <c r="AH14" i="3"/>
  <c r="AI14" i="3" s="1"/>
  <c r="D8" i="2"/>
  <c r="B49" i="2"/>
  <c r="C49" i="2"/>
  <c r="D54" i="2"/>
  <c r="F17" i="2"/>
  <c r="G17" i="2"/>
  <c r="A49" i="1"/>
  <c r="AH18" i="3"/>
  <c r="AI18" i="3" s="1"/>
  <c r="AH16" i="3"/>
  <c r="AI16" i="3" s="1"/>
  <c r="AH17" i="3"/>
  <c r="AI17" i="3" s="1"/>
  <c r="B25" i="1"/>
  <c r="A25" i="1" s="1"/>
  <c r="M25" i="1" s="1"/>
  <c r="AL4" i="3"/>
  <c r="E22" i="2"/>
  <c r="E1" i="2"/>
  <c r="B62" i="1"/>
  <c r="A62" i="1" s="1"/>
  <c r="M62" i="1" s="1"/>
  <c r="B33" i="1"/>
  <c r="A33" i="1" s="1"/>
  <c r="M33" i="1" s="1"/>
  <c r="AL2" i="3"/>
  <c r="A31" i="9"/>
  <c r="A37" i="9"/>
  <c r="B21" i="1"/>
  <c r="A21" i="1" s="1"/>
  <c r="M21" i="1" s="1"/>
  <c r="B23" i="1"/>
  <c r="A23" i="1" s="1"/>
  <c r="M23" i="1" s="1"/>
  <c r="A8" i="9"/>
  <c r="C29" i="2"/>
  <c r="A25" i="9"/>
  <c r="C28" i="2"/>
  <c r="A24" i="9"/>
  <c r="C27" i="2"/>
  <c r="A23" i="9"/>
  <c r="C26" i="2"/>
  <c r="A22" i="9"/>
  <c r="C25" i="2"/>
  <c r="A21" i="9"/>
  <c r="C24" i="2"/>
  <c r="A20" i="9"/>
  <c r="C23" i="2"/>
  <c r="A19" i="9"/>
  <c r="AH2" i="3"/>
  <c r="AI2" i="3" s="1"/>
  <c r="B20" i="1"/>
  <c r="A20" i="1" s="1"/>
  <c r="M20" i="1" s="1"/>
  <c r="F1" i="2"/>
  <c r="C22" i="2"/>
  <c r="A13" i="9"/>
  <c r="A42" i="1"/>
  <c r="M42" i="1" s="1"/>
  <c r="F109" i="1"/>
  <c r="F107" i="1"/>
  <c r="B141" i="1"/>
  <c r="B125" i="1"/>
  <c r="B128" i="1"/>
  <c r="B124" i="1"/>
  <c r="B127" i="1"/>
  <c r="B126" i="1"/>
  <c r="A132" i="1"/>
  <c r="M132" i="1" s="1"/>
  <c r="B132" i="1"/>
  <c r="A9" i="9"/>
  <c r="A14" i="9"/>
  <c r="A10" i="9"/>
  <c r="E32" i="1"/>
  <c r="AB3" i="2"/>
  <c r="AC3" i="2"/>
  <c r="AA3" i="2"/>
  <c r="AC4" i="2"/>
  <c r="AA4" i="2"/>
  <c r="AB4" i="2"/>
  <c r="AH9" i="3"/>
  <c r="AI9" i="3" s="1"/>
  <c r="AH3" i="3"/>
  <c r="AI3" i="3" s="1"/>
  <c r="AH4" i="3"/>
  <c r="AI4" i="3" s="1"/>
  <c r="A7" i="9"/>
  <c r="B26" i="1"/>
  <c r="AH5" i="3"/>
  <c r="AI5" i="3" s="1"/>
  <c r="AH6" i="3"/>
  <c r="AI6" i="3" s="1"/>
  <c r="B66" i="1"/>
  <c r="C6" i="2"/>
  <c r="B13" i="1"/>
  <c r="A13" i="1" s="1"/>
  <c r="B12" i="1"/>
  <c r="A12" i="1" s="1"/>
  <c r="B10" i="1"/>
  <c r="F2" i="2"/>
  <c r="A5" i="9"/>
  <c r="A3" i="9"/>
  <c r="A2" i="9"/>
  <c r="A4" i="9"/>
  <c r="A6" i="9"/>
  <c r="S2" i="2"/>
  <c r="J63" i="1"/>
  <c r="S3" i="2"/>
  <c r="G63" i="1"/>
  <c r="G1" i="2"/>
  <c r="S1" i="2"/>
  <c r="B65" i="1"/>
  <c r="G2" i="2"/>
  <c r="C1" i="2"/>
  <c r="O5" i="2"/>
  <c r="C4" i="2"/>
  <c r="B3" i="2"/>
  <c r="B1" i="2"/>
  <c r="F181" i="1"/>
  <c r="B36" i="1"/>
  <c r="B2" i="2"/>
  <c r="A163" i="1"/>
  <c r="M163" i="1" s="1"/>
  <c r="A137" i="1"/>
  <c r="M137" i="1" s="1"/>
  <c r="A71" i="1"/>
  <c r="M71" i="1" s="1"/>
  <c r="B11" i="23" l="1"/>
  <c r="A10" i="23"/>
  <c r="E10" i="23"/>
  <c r="I10" i="23"/>
  <c r="A10" i="21"/>
  <c r="AI13" i="3"/>
  <c r="B29" i="19" s="1"/>
  <c r="AL1" i="3"/>
  <c r="AI1" i="3"/>
  <c r="B29" i="23" s="1"/>
  <c r="B122" i="1"/>
  <c r="A122" i="1" s="1"/>
  <c r="M122" i="1" s="1"/>
  <c r="B30" i="1"/>
  <c r="B29" i="1"/>
  <c r="M11" i="23" l="1"/>
  <c r="M12" i="23"/>
  <c r="M10" i="23"/>
  <c r="A29" i="23"/>
  <c r="M29" i="23" s="1"/>
  <c r="B22" i="21"/>
  <c r="A22" i="21" s="1"/>
  <c r="M22" i="21" s="1"/>
  <c r="B22" i="23"/>
  <c r="A22" i="23" s="1"/>
  <c r="M22" i="23" s="1"/>
  <c r="B29" i="21"/>
  <c r="A29" i="21" s="1"/>
  <c r="M29" i="21" s="1"/>
  <c r="B31" i="21"/>
  <c r="M11" i="21"/>
  <c r="M12" i="21"/>
  <c r="M10" i="21"/>
  <c r="B22" i="19"/>
  <c r="A22" i="19" s="1"/>
  <c r="M22" i="19" s="1"/>
  <c r="B31" i="19"/>
  <c r="A29" i="19"/>
  <c r="M29" i="19" s="1"/>
  <c r="B41" i="1"/>
  <c r="A41" i="1" s="1"/>
  <c r="M41" i="1" s="1"/>
  <c r="F176" i="1"/>
  <c r="B102" i="1" l="1"/>
  <c r="B101" i="1"/>
  <c r="B100" i="1"/>
  <c r="B99" i="1"/>
  <c r="B77" i="1"/>
  <c r="A30" i="1"/>
  <c r="M30" i="1" s="1"/>
  <c r="A29" i="1"/>
  <c r="M29" i="1" s="1"/>
  <c r="B94" i="1" l="1"/>
  <c r="A179" i="1"/>
  <c r="A173" i="1"/>
  <c r="A166" i="1"/>
  <c r="B143" i="1"/>
  <c r="B167" i="1"/>
  <c r="B144" i="1"/>
  <c r="B168" i="1"/>
  <c r="B169" i="1"/>
  <c r="A47" i="1"/>
  <c r="B46" i="1"/>
  <c r="B44" i="1"/>
  <c r="B32" i="1"/>
  <c r="B15" i="1"/>
  <c r="B14" i="1"/>
  <c r="B28" i="1"/>
  <c r="B31" i="1"/>
  <c r="B9" i="1"/>
  <c r="B19" i="1"/>
  <c r="I10" i="1"/>
  <c r="A6" i="1"/>
  <c r="B8" i="1"/>
  <c r="B5" i="1"/>
  <c r="A2" i="1"/>
  <c r="B3" i="15"/>
  <c r="A102" i="1"/>
  <c r="M102" i="1" s="1"/>
  <c r="A101" i="1"/>
  <c r="M101" i="1" s="1"/>
  <c r="A100" i="1"/>
  <c r="M100" i="1" s="1"/>
  <c r="A99" i="1"/>
  <c r="M99" i="1" s="1"/>
  <c r="B131" i="1" l="1"/>
  <c r="A2" i="2"/>
  <c r="B23" i="23" s="1"/>
  <c r="A23" i="23" s="1"/>
  <c r="M23" i="23" s="1"/>
  <c r="B45" i="1"/>
  <c r="A3" i="2"/>
  <c r="B11" i="1"/>
  <c r="E10" i="1"/>
  <c r="A94" i="1"/>
  <c r="M94" i="1" s="1"/>
  <c r="A77" i="1"/>
  <c r="M77" i="1" s="1"/>
  <c r="A82" i="1" l="1"/>
  <c r="A62" i="21"/>
  <c r="A58" i="21"/>
  <c r="A61" i="21"/>
  <c r="A23" i="21"/>
  <c r="M23" i="21" s="1"/>
  <c r="A57" i="21"/>
  <c r="A63" i="21"/>
  <c r="A55" i="21"/>
  <c r="A60" i="21"/>
  <c r="A56" i="21"/>
  <c r="A59" i="21"/>
  <c r="A31" i="21"/>
  <c r="M31" i="21" s="1"/>
  <c r="AL3" i="3"/>
  <c r="B34" i="1" s="1"/>
  <c r="A34" i="1" s="1"/>
  <c r="M34" i="1" s="1"/>
  <c r="A23" i="19"/>
  <c r="M23" i="19" s="1"/>
  <c r="A31" i="19"/>
  <c r="M31" i="19" s="1"/>
  <c r="A131" i="1"/>
  <c r="M131" i="1" s="1"/>
  <c r="B24" i="1"/>
  <c r="A24" i="1" s="1"/>
  <c r="M24" i="1" s="1"/>
  <c r="B22" i="1"/>
  <c r="A22" i="1" s="1"/>
  <c r="M22" i="1" s="1"/>
  <c r="F185" i="1"/>
  <c r="B3" i="3"/>
  <c r="B2" i="3" s="1"/>
  <c r="B35" i="1"/>
  <c r="A35" i="1" s="1"/>
  <c r="M35" i="1" s="1"/>
  <c r="B43" i="1"/>
  <c r="A43" i="1" s="1"/>
  <c r="M43" i="1" s="1"/>
  <c r="A91" i="1"/>
  <c r="A86" i="1"/>
  <c r="A84" i="1"/>
  <c r="A83" i="1"/>
  <c r="A89" i="1"/>
  <c r="A85" i="1"/>
  <c r="A88" i="1"/>
  <c r="A87" i="1"/>
  <c r="A36" i="1"/>
  <c r="M36" i="1" s="1"/>
  <c r="M59" i="21" l="1"/>
  <c r="M55" i="21"/>
  <c r="M58" i="21"/>
  <c r="M62" i="21"/>
  <c r="M63" i="21"/>
  <c r="M57" i="21"/>
  <c r="M56" i="21"/>
  <c r="M61" i="21"/>
  <c r="M60" i="21"/>
  <c r="M88" i="1"/>
  <c r="M90" i="1"/>
  <c r="M91" i="1"/>
  <c r="M87" i="1"/>
  <c r="M83" i="1"/>
  <c r="M86" i="1"/>
  <c r="M82" i="1"/>
  <c r="M89" i="1"/>
  <c r="M85" i="1"/>
  <c r="M84" i="1"/>
  <c r="A108" i="1" l="1"/>
  <c r="M108" i="1" s="1"/>
  <c r="H109" i="1" s="1"/>
  <c r="A107" i="1" l="1"/>
  <c r="M107" i="1" s="1"/>
  <c r="A151" i="1"/>
  <c r="M151" i="1" s="1"/>
  <c r="A125" i="1" l="1"/>
  <c r="M125" i="1" s="1"/>
  <c r="A124" i="1"/>
  <c r="M124" i="1" s="1"/>
  <c r="B130" i="1"/>
  <c r="A128" i="1"/>
  <c r="M128" i="1" s="1"/>
  <c r="A127" i="1"/>
  <c r="M127" i="1" s="1"/>
  <c r="A126" i="1"/>
  <c r="M126" i="1" s="1"/>
  <c r="B135" i="1" l="1"/>
  <c r="B134" i="1"/>
  <c r="B112" i="1" l="1"/>
  <c r="A112" i="1" s="1"/>
  <c r="M112" i="1" l="1"/>
  <c r="M113" i="1"/>
  <c r="K3" i="5"/>
  <c r="A65" i="1" l="1"/>
  <c r="M65" i="1" s="1"/>
  <c r="J9" i="3"/>
  <c r="J8" i="3"/>
  <c r="J7" i="3"/>
  <c r="J6" i="3"/>
  <c r="J5" i="3"/>
  <c r="J4" i="3"/>
  <c r="J3" i="3"/>
  <c r="J2" i="3"/>
  <c r="G6" i="3"/>
  <c r="G5" i="3"/>
  <c r="G4" i="3"/>
  <c r="G3" i="3"/>
  <c r="G2" i="3"/>
  <c r="G1" i="3" l="1"/>
  <c r="E16" i="3"/>
  <c r="E15" i="3"/>
  <c r="E14" i="3"/>
  <c r="E12" i="3"/>
  <c r="E11" i="3"/>
  <c r="E10" i="3"/>
  <c r="K4" i="3" s="1"/>
  <c r="E9" i="3"/>
  <c r="E8" i="3"/>
  <c r="E7" i="3"/>
  <c r="E6" i="3"/>
  <c r="E5" i="3"/>
  <c r="E4" i="3"/>
  <c r="E3" i="3"/>
  <c r="E2" i="3"/>
  <c r="E22" i="3" l="1"/>
  <c r="B120" i="1"/>
  <c r="E19" i="3"/>
  <c r="E13" i="3"/>
  <c r="E18" i="3"/>
  <c r="E17" i="3"/>
  <c r="B64" i="1" l="1"/>
  <c r="K3" i="3"/>
  <c r="M178" i="1"/>
  <c r="M177" i="1"/>
  <c r="B63" i="1"/>
  <c r="A63" i="1" s="1"/>
  <c r="M63" i="1" s="1"/>
  <c r="B96" i="1"/>
  <c r="B97" i="1"/>
  <c r="G78" i="1"/>
  <c r="I21" i="9" l="1"/>
  <c r="B1" i="9" l="1"/>
  <c r="F182" i="1"/>
  <c r="G140" i="1"/>
  <c r="F180" i="1"/>
  <c r="B23" i="4"/>
  <c r="B22" i="4"/>
  <c r="AF45" i="3"/>
  <c r="AF44" i="3"/>
  <c r="AF43" i="3"/>
  <c r="AF42" i="3"/>
  <c r="AF41" i="3"/>
  <c r="AF40" i="3"/>
  <c r="AF39" i="3"/>
  <c r="AF38" i="3"/>
  <c r="AF37" i="3"/>
  <c r="AF36" i="3"/>
  <c r="AF35" i="3"/>
  <c r="AF34" i="3"/>
  <c r="AF33" i="3"/>
  <c r="AF32" i="3"/>
  <c r="AF31" i="3"/>
  <c r="AF30" i="3"/>
  <c r="AF29" i="3"/>
  <c r="AF28" i="3"/>
  <c r="AF27" i="3"/>
  <c r="AF26" i="3"/>
  <c r="AF25" i="3"/>
  <c r="AF24" i="3"/>
  <c r="AF23" i="3"/>
  <c r="AF22" i="3"/>
  <c r="AF21" i="3"/>
  <c r="AF20" i="3"/>
  <c r="AF19" i="3"/>
  <c r="AF18" i="3"/>
  <c r="AF17" i="3"/>
  <c r="AF16" i="3"/>
  <c r="AF15" i="3"/>
  <c r="AF14" i="3"/>
  <c r="AF13" i="3"/>
  <c r="AF12" i="3"/>
  <c r="AF11" i="3"/>
  <c r="AF10" i="3"/>
  <c r="AF9" i="3"/>
  <c r="AF8" i="3"/>
  <c r="AF7" i="3"/>
  <c r="AF6" i="3"/>
  <c r="AF5" i="3"/>
  <c r="AF4" i="3"/>
  <c r="AF3" i="3"/>
  <c r="AF2" i="3"/>
  <c r="AC62" i="3"/>
  <c r="AC61" i="3"/>
  <c r="AC60" i="3"/>
  <c r="AC59" i="3"/>
  <c r="AC58" i="3"/>
  <c r="AC57" i="3"/>
  <c r="AC56" i="3"/>
  <c r="AC55" i="3"/>
  <c r="AC54" i="3"/>
  <c r="AC53" i="3"/>
  <c r="AC52" i="3"/>
  <c r="AC51" i="3"/>
  <c r="AC50" i="3"/>
  <c r="AC49" i="3"/>
  <c r="AC48" i="3"/>
  <c r="AC47" i="3"/>
  <c r="AC46" i="3"/>
  <c r="AC45" i="3"/>
  <c r="AC44" i="3"/>
  <c r="AC43" i="3"/>
  <c r="AC42" i="3"/>
  <c r="AC41" i="3"/>
  <c r="AC40" i="3"/>
  <c r="AC39" i="3"/>
  <c r="AC38" i="3"/>
  <c r="AC37" i="3"/>
  <c r="AC36" i="3"/>
  <c r="AC35" i="3"/>
  <c r="AC34" i="3"/>
  <c r="AC33" i="3"/>
  <c r="AC32" i="3"/>
  <c r="AC31" i="3"/>
  <c r="AC30" i="3"/>
  <c r="AC29" i="3"/>
  <c r="AC28" i="3"/>
  <c r="AC27" i="3"/>
  <c r="AC26" i="3"/>
  <c r="AC25" i="3"/>
  <c r="AC24" i="3"/>
  <c r="AC23" i="3"/>
  <c r="AC22" i="3"/>
  <c r="AC21" i="3"/>
  <c r="AC20" i="3"/>
  <c r="AC19" i="3"/>
  <c r="AC18" i="3"/>
  <c r="AC17" i="3"/>
  <c r="AC16" i="3"/>
  <c r="AC15" i="3"/>
  <c r="AC14" i="3"/>
  <c r="AC13" i="3"/>
  <c r="AC12" i="3"/>
  <c r="AC11" i="3"/>
  <c r="AC10" i="3"/>
  <c r="AC9" i="3"/>
  <c r="AC8" i="3"/>
  <c r="AC7" i="3"/>
  <c r="AC6" i="3"/>
  <c r="AC5" i="3"/>
  <c r="AC4" i="3"/>
  <c r="AC3" i="3"/>
  <c r="AC2" i="3"/>
  <c r="W59" i="3"/>
  <c r="W58" i="3"/>
  <c r="W57" i="3"/>
  <c r="W56" i="3"/>
  <c r="W55" i="3"/>
  <c r="W54" i="3"/>
  <c r="W53" i="3"/>
  <c r="W52" i="3"/>
  <c r="W51" i="3"/>
  <c r="W50" i="3"/>
  <c r="W49" i="3"/>
  <c r="W48" i="3"/>
  <c r="W47" i="3"/>
  <c r="W46" i="3"/>
  <c r="W45" i="3"/>
  <c r="W44" i="3"/>
  <c r="W43" i="3"/>
  <c r="W42" i="3"/>
  <c r="W41" i="3"/>
  <c r="W40" i="3"/>
  <c r="W39" i="3"/>
  <c r="W38" i="3"/>
  <c r="W37" i="3"/>
  <c r="W36" i="3"/>
  <c r="W35" i="3"/>
  <c r="W34" i="3"/>
  <c r="W33" i="3"/>
  <c r="W32" i="3"/>
  <c r="W31" i="3"/>
  <c r="W30" i="3"/>
  <c r="W29" i="3"/>
  <c r="W28" i="3"/>
  <c r="W27" i="3"/>
  <c r="W26" i="3"/>
  <c r="W25" i="3"/>
  <c r="W24" i="3"/>
  <c r="W23" i="3"/>
  <c r="W22" i="3"/>
  <c r="W21" i="3"/>
  <c r="W20" i="3"/>
  <c r="W19" i="3"/>
  <c r="W18" i="3"/>
  <c r="W17" i="3"/>
  <c r="W16" i="3"/>
  <c r="W15" i="3"/>
  <c r="W14" i="3"/>
  <c r="W13" i="3"/>
  <c r="W12" i="3"/>
  <c r="W11" i="3"/>
  <c r="W10" i="3"/>
  <c r="W9" i="3"/>
  <c r="W8" i="3"/>
  <c r="W7" i="3"/>
  <c r="W6" i="3"/>
  <c r="W5" i="3"/>
  <c r="W3" i="3"/>
  <c r="W2" i="3"/>
  <c r="T11" i="3"/>
  <c r="Z47" i="3"/>
  <c r="Z46" i="3"/>
  <c r="Z45" i="3"/>
  <c r="Z44" i="3"/>
  <c r="Z43" i="3"/>
  <c r="Z42" i="3"/>
  <c r="Z41" i="3"/>
  <c r="Z40" i="3"/>
  <c r="Z39" i="3"/>
  <c r="Z38" i="3"/>
  <c r="Z37" i="3"/>
  <c r="Z36" i="3"/>
  <c r="Z35" i="3"/>
  <c r="Z34" i="3"/>
  <c r="Z33" i="3"/>
  <c r="Z32" i="3"/>
  <c r="Z31" i="3"/>
  <c r="Z30" i="3"/>
  <c r="Z29" i="3"/>
  <c r="Z28" i="3"/>
  <c r="Z27" i="3"/>
  <c r="Z26" i="3"/>
  <c r="Z25" i="3"/>
  <c r="Z24" i="3"/>
  <c r="Z23" i="3"/>
  <c r="Z22" i="3"/>
  <c r="Z21" i="3"/>
  <c r="Z20" i="3"/>
  <c r="Z19" i="3"/>
  <c r="Z18" i="3"/>
  <c r="Z17" i="3"/>
  <c r="Z16" i="3"/>
  <c r="Z15" i="3"/>
  <c r="Z14" i="3"/>
  <c r="Z13" i="3"/>
  <c r="Z12" i="3"/>
  <c r="Z11" i="3"/>
  <c r="Z10" i="3"/>
  <c r="Z9" i="3"/>
  <c r="Z8" i="3"/>
  <c r="Z7" i="3"/>
  <c r="Z6" i="3"/>
  <c r="Z5" i="3"/>
  <c r="Z3" i="3"/>
  <c r="Z2" i="3"/>
  <c r="T10" i="3"/>
  <c r="T9" i="3"/>
  <c r="T8" i="3"/>
  <c r="T7" i="3"/>
  <c r="T6" i="3"/>
  <c r="T5" i="3"/>
  <c r="T4" i="3"/>
  <c r="T3" i="3"/>
  <c r="T2" i="3"/>
  <c r="D28" i="9" l="1"/>
  <c r="D27" i="9"/>
  <c r="D14" i="9"/>
  <c r="D24" i="9"/>
  <c r="D23" i="9"/>
  <c r="D8" i="9"/>
  <c r="D22" i="9"/>
  <c r="D21" i="9"/>
  <c r="D4" i="9"/>
  <c r="D3" i="9"/>
  <c r="D9" i="9"/>
  <c r="D5" i="9"/>
  <c r="D19" i="9"/>
  <c r="D13" i="9"/>
  <c r="D12" i="9"/>
  <c r="D26" i="9"/>
  <c r="D25" i="9"/>
  <c r="D18" i="9"/>
  <c r="D15" i="9"/>
  <c r="D20" i="9"/>
  <c r="D17" i="9"/>
  <c r="D7" i="9"/>
  <c r="D10" i="9"/>
  <c r="D16" i="9"/>
  <c r="D11" i="9"/>
  <c r="D2" i="9"/>
  <c r="W1" i="3"/>
  <c r="T1" i="3"/>
  <c r="AC1" i="3"/>
  <c r="AE1" i="3"/>
  <c r="V1" i="3"/>
  <c r="AB1" i="3"/>
  <c r="R1" i="3"/>
  <c r="AF1" i="3"/>
  <c r="Z1" i="3"/>
  <c r="Y1" i="3"/>
  <c r="A156" i="1"/>
  <c r="M156" i="1" s="1"/>
  <c r="G93" i="1"/>
  <c r="B78" i="21" l="1"/>
  <c r="B82" i="23"/>
  <c r="B77" i="21"/>
  <c r="B81" i="23"/>
  <c r="A78" i="21"/>
  <c r="M78" i="21" s="1"/>
  <c r="A82" i="23"/>
  <c r="M82" i="23" s="1"/>
  <c r="A77" i="21"/>
  <c r="M77" i="21" s="1"/>
  <c r="A81" i="23"/>
  <c r="M81" i="23" s="1"/>
  <c r="B76" i="21"/>
  <c r="A76" i="21" s="1"/>
  <c r="M76" i="21" s="1"/>
  <c r="A108" i="19"/>
  <c r="M108" i="19" s="1"/>
  <c r="A158" i="1"/>
  <c r="M158" i="1" s="1"/>
  <c r="M110" i="19"/>
  <c r="A154" i="1"/>
  <c r="M154" i="1" s="1"/>
  <c r="M109" i="19"/>
  <c r="F34" i="9"/>
  <c r="D34" i="9"/>
  <c r="D33" i="9"/>
  <c r="A165" i="1"/>
  <c r="M165" i="1" s="1"/>
  <c r="A162" i="1"/>
  <c r="M162" i="1" s="1"/>
  <c r="A155" i="1"/>
  <c r="M155" i="1" s="1"/>
  <c r="D1" i="9" l="1"/>
  <c r="F98" i="23" s="1"/>
  <c r="F33" i="9"/>
  <c r="F1" i="9" s="1"/>
  <c r="P7" i="3"/>
  <c r="P6" i="3"/>
  <c r="M4" i="3"/>
  <c r="A143" i="1"/>
  <c r="M143" i="1" s="1"/>
  <c r="F127" i="19" l="1"/>
  <c r="F93" i="21"/>
  <c r="F183" i="1"/>
  <c r="A104" i="1"/>
  <c r="M104" i="1" s="1"/>
  <c r="H107" i="1" s="1"/>
  <c r="B98" i="1"/>
  <c r="A98" i="1" s="1"/>
  <c r="M98" i="1" s="1"/>
  <c r="M2" i="3"/>
  <c r="I22" i="9" l="1"/>
  <c r="I25" i="9"/>
  <c r="I24" i="9"/>
  <c r="I23" i="9"/>
  <c r="I20" i="9"/>
  <c r="I16" i="9"/>
  <c r="I19" i="9"/>
  <c r="I15" i="9"/>
  <c r="I18" i="9"/>
  <c r="I17" i="9"/>
  <c r="O3" i="3"/>
  <c r="P3" i="3" s="1"/>
  <c r="O5" i="3"/>
  <c r="P5" i="3" s="1"/>
  <c r="O4" i="3"/>
  <c r="P4" i="3" s="1"/>
  <c r="N2" i="3"/>
  <c r="M3" i="3"/>
  <c r="N3" i="3" s="1"/>
  <c r="B20" i="4"/>
  <c r="A120" i="1"/>
  <c r="M120" i="1" s="1"/>
  <c r="A123" i="1"/>
  <c r="M123" i="1" s="1"/>
  <c r="A96" i="1"/>
  <c r="M96" i="1" s="1"/>
  <c r="A97" i="1"/>
  <c r="M97" i="1" s="1"/>
  <c r="J1" i="3"/>
  <c r="F186" i="1" l="1"/>
  <c r="N1" i="3"/>
  <c r="M1" i="3" s="1"/>
  <c r="K2" i="3"/>
  <c r="P2" i="3"/>
  <c r="O2" i="3" s="1"/>
  <c r="B21" i="4" s="1"/>
  <c r="A121" i="1"/>
  <c r="M121" i="1" s="1"/>
  <c r="B13" i="4"/>
  <c r="B15" i="4"/>
  <c r="B14" i="4"/>
  <c r="B95" i="1"/>
  <c r="A95" i="1" s="1"/>
  <c r="M95" i="1" s="1"/>
  <c r="B76" i="1"/>
  <c r="A76" i="1" s="1"/>
  <c r="M76" i="1" s="1"/>
  <c r="A73" i="1"/>
  <c r="M73" i="1" s="1"/>
  <c r="B10" i="4"/>
  <c r="A64" i="1"/>
  <c r="M64" i="1" s="1"/>
  <c r="H2" i="3"/>
  <c r="J3" i="5"/>
  <c r="L3" i="5" s="1"/>
  <c r="B4" i="23" s="1"/>
  <c r="I3" i="5"/>
  <c r="E3" i="5"/>
  <c r="B4" i="1" l="1"/>
  <c r="E138" i="1"/>
  <c r="B78" i="1"/>
  <c r="B145" i="1"/>
  <c r="B72" i="1"/>
  <c r="A72" i="1" s="1"/>
  <c r="M72" i="1" s="1"/>
  <c r="B67" i="1"/>
  <c r="B93" i="1"/>
  <c r="B70" i="1"/>
  <c r="B146" i="1"/>
  <c r="B81" i="1"/>
  <c r="B69" i="1"/>
  <c r="B75" i="1"/>
  <c r="B68" i="1"/>
  <c r="B51" i="1"/>
  <c r="A157" i="1"/>
  <c r="M157" i="1" s="1"/>
  <c r="A177" i="1"/>
  <c r="A178" i="1"/>
  <c r="B140" i="1"/>
  <c r="A141" i="1"/>
  <c r="M141" i="1" s="1"/>
  <c r="AE6" i="2"/>
  <c r="B55" i="1"/>
  <c r="B92" i="1"/>
  <c r="B50" i="1"/>
  <c r="B91" i="1"/>
  <c r="B56" i="1"/>
  <c r="J50" i="1"/>
  <c r="B12" i="4"/>
  <c r="B8" i="4"/>
  <c r="A45" i="1"/>
  <c r="M45" i="1" s="1"/>
  <c r="B138" i="1" l="1"/>
  <c r="A138" i="1" s="1"/>
  <c r="M138" i="1" s="1"/>
  <c r="B139" i="1"/>
  <c r="A139" i="1" s="1"/>
  <c r="M139" i="1" s="1"/>
  <c r="F187" i="1"/>
  <c r="A66" i="1"/>
  <c r="M66" i="1" s="1"/>
  <c r="A146" i="1"/>
  <c r="M146" i="1" s="1"/>
  <c r="B158" i="1"/>
  <c r="B153" i="1"/>
  <c r="A153" i="1" s="1"/>
  <c r="M153" i="1" s="1"/>
  <c r="B154" i="1"/>
  <c r="A145" i="1"/>
  <c r="M145" i="1" s="1"/>
  <c r="B19" i="4"/>
  <c r="A135" i="1"/>
  <c r="M135" i="1" s="1"/>
  <c r="A134" i="1"/>
  <c r="B17" i="4"/>
  <c r="B16" i="4"/>
  <c r="B11" i="4"/>
  <c r="B113" i="1"/>
  <c r="E1" i="3"/>
  <c r="B7" i="4"/>
  <c r="B18" i="4" l="1"/>
  <c r="M134" i="1"/>
  <c r="B9" i="4"/>
  <c r="A27" i="1"/>
  <c r="M27" i="1" s="1"/>
  <c r="B6" i="4"/>
  <c r="B5" i="4"/>
  <c r="B4" i="4"/>
  <c r="A26" i="1" l="1"/>
  <c r="M26" i="1" s="1"/>
  <c r="B3" i="4" l="1"/>
  <c r="A10" i="1" l="1"/>
  <c r="M12" i="1" s="1"/>
  <c r="M10" i="1" l="1"/>
  <c r="M11" i="1"/>
  <c r="L4" i="5"/>
  <c r="B35" i="23" s="1"/>
  <c r="B48"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Courson, Kathleen (LNG-DAY)</author>
  </authors>
  <commentList>
    <comment ref="D1" authorId="0" shapeId="0" xr:uid="{2DD8BEAD-DFE5-427F-A085-20B5F525F6FF}">
      <text>
        <r>
          <rPr>
            <b/>
            <sz val="9"/>
            <color indexed="81"/>
            <rFont val="Tahoma"/>
            <charset val="1"/>
          </rPr>
          <t>Courson, Kathleen (LNG-DAY):</t>
        </r>
        <r>
          <rPr>
            <sz val="9"/>
            <color indexed="81"/>
            <rFont val="Tahoma"/>
            <charset val="1"/>
          </rPr>
          <t xml:space="preserve">
FORM</t>
        </r>
      </text>
    </comment>
    <comment ref="E1" authorId="0" shapeId="0" xr:uid="{3D1DAE2A-57CF-4481-9251-36E184047FF6}">
      <text>
        <r>
          <rPr>
            <b/>
            <sz val="9"/>
            <color indexed="81"/>
            <rFont val="Tahoma"/>
            <charset val="1"/>
          </rPr>
          <t>Courson, Kathleen (LNG-DAY):</t>
        </r>
        <r>
          <rPr>
            <sz val="9"/>
            <color indexed="81"/>
            <rFont val="Tahoma"/>
            <charset val="1"/>
          </rPr>
          <t xml:space="preserve">
LN FRANCE FORM</t>
        </r>
      </text>
    </comment>
    <comment ref="F1" authorId="0" shapeId="0" xr:uid="{3AA4BF44-A79A-4422-B4EE-0B64272AD00A}">
      <text>
        <r>
          <rPr>
            <b/>
            <sz val="9"/>
            <color indexed="81"/>
            <rFont val="Tahoma"/>
            <charset val="1"/>
          </rPr>
          <t>Courson, Kathleen (LNG-DAY):</t>
        </r>
        <r>
          <rPr>
            <sz val="9"/>
            <color indexed="81"/>
            <rFont val="Tahoma"/>
            <charset val="1"/>
          </rPr>
          <t xml:space="preserve">
LN AUSTRIA FORM</t>
        </r>
      </text>
    </comment>
    <comment ref="D2" authorId="0" shapeId="0" xr:uid="{50219E65-3CDE-4D5B-8CE9-271CD260B57C}">
      <text>
        <r>
          <rPr>
            <b/>
            <sz val="9"/>
            <color indexed="81"/>
            <rFont val="Tahoma"/>
            <family val="2"/>
          </rPr>
          <t>Courson, Kathleen (LNG-DAY):</t>
        </r>
        <r>
          <rPr>
            <sz val="9"/>
            <color indexed="81"/>
            <rFont val="Tahoma"/>
            <family val="2"/>
          </rPr>
          <t xml:space="preserve">
Asia Author
</t>
        </r>
      </text>
    </comment>
    <comment ref="E2" authorId="0" shapeId="0" xr:uid="{1404C591-AB82-496B-912B-32BD570FFDD9}">
      <text>
        <r>
          <rPr>
            <b/>
            <sz val="9"/>
            <color indexed="81"/>
            <rFont val="Tahoma"/>
            <charset val="1"/>
          </rPr>
          <t>Courson, Kathleen (LNG-DAY):</t>
        </r>
        <r>
          <rPr>
            <sz val="9"/>
            <color indexed="81"/>
            <rFont val="Tahoma"/>
            <charset val="1"/>
          </rPr>
          <t xml:space="preserve">
European countries and United Kingdom should be Net 30.</t>
        </r>
      </text>
    </comment>
    <comment ref="D5" authorId="0" shapeId="0" xr:uid="{B0C8348E-FC9D-4DF8-AC4B-7B2B716FDC6B}">
      <text>
        <r>
          <rPr>
            <b/>
            <sz val="9"/>
            <color indexed="81"/>
            <rFont val="Tahoma"/>
            <family val="2"/>
          </rPr>
          <t>Courson, Kathleen (LNG-DAY):</t>
        </r>
        <r>
          <rPr>
            <sz val="9"/>
            <color indexed="81"/>
            <rFont val="Tahoma"/>
            <family val="2"/>
          </rPr>
          <t xml:space="preserve">
Freelancer Not Canada or Knowable Poland or United Kingdom
</t>
        </r>
      </text>
    </comment>
    <comment ref="D6" authorId="0" shapeId="0" xr:uid="{0642BE4F-DFDA-435B-95CD-240A31F0F9BE}">
      <text>
        <r>
          <rPr>
            <b/>
            <sz val="9"/>
            <color indexed="81"/>
            <rFont val="Tahoma"/>
            <family val="2"/>
          </rPr>
          <t>Courson, Kathleen (LNG-DAY):</t>
        </r>
        <r>
          <rPr>
            <sz val="9"/>
            <color indexed="81"/>
            <rFont val="Tahoma"/>
            <family val="2"/>
          </rPr>
          <t xml:space="preserve">
European Union countries and United Kingdom should be Net 30</t>
        </r>
      </text>
    </comment>
    <comment ref="D7" authorId="0" shapeId="0" xr:uid="{13CCE1E4-F4E4-4896-BA22-5A13D5D78763}">
      <text>
        <r>
          <rPr>
            <b/>
            <sz val="9"/>
            <color indexed="81"/>
            <rFont val="Tahoma"/>
            <family val="2"/>
          </rPr>
          <t>Courson, Kathleen (LNG-DAY):</t>
        </r>
        <r>
          <rPr>
            <sz val="9"/>
            <color indexed="81"/>
            <rFont val="Tahoma"/>
            <family val="2"/>
          </rPr>
          <t xml:space="preserve">
Asia Royalty
</t>
        </r>
      </text>
    </comment>
    <comment ref="D9" authorId="0" shapeId="0" xr:uid="{B62F63BF-FA92-4C12-9532-45185C8EB538}">
      <text>
        <r>
          <rPr>
            <b/>
            <sz val="9"/>
            <color indexed="81"/>
            <rFont val="Tahoma"/>
            <family val="2"/>
          </rPr>
          <t>Courson, Kathleen (LNG-DAY):</t>
        </r>
        <r>
          <rPr>
            <sz val="9"/>
            <color indexed="81"/>
            <rFont val="Tahoma"/>
            <family val="2"/>
          </rPr>
          <t xml:space="preserve">
Freelancer Canada
</t>
        </r>
      </text>
    </comment>
    <comment ref="D10" authorId="0" shapeId="0" xr:uid="{B4853927-EA52-436F-8417-49C59EAD7C4A}">
      <text>
        <r>
          <rPr>
            <b/>
            <sz val="9"/>
            <color indexed="81"/>
            <rFont val="Tahoma"/>
            <family val="2"/>
          </rPr>
          <t>Courson, Kathleen (LNG-DAY):</t>
        </r>
        <r>
          <rPr>
            <sz val="9"/>
            <color indexed="81"/>
            <rFont val="Tahoma"/>
            <family val="2"/>
          </rPr>
          <t xml:space="preserve">
Pacific Author
</t>
        </r>
      </text>
    </comment>
    <comment ref="D11" authorId="0" shapeId="0" xr:uid="{0E46EC3F-46B2-4BDD-A922-0EF73E89D19E}">
      <text>
        <r>
          <rPr>
            <b/>
            <sz val="9"/>
            <color indexed="81"/>
            <rFont val="Tahoma"/>
            <family val="2"/>
          </rPr>
          <t>Courson, Kathleen (LNG-DAY):</t>
        </r>
        <r>
          <rPr>
            <sz val="9"/>
            <color indexed="81"/>
            <rFont val="Tahoma"/>
            <family val="2"/>
          </rPr>
          <t xml:space="preserve">
Pacific Royalty
</t>
        </r>
      </text>
    </comment>
    <comment ref="D12" authorId="0" shapeId="0" xr:uid="{C195CBE4-F73D-44D4-BD0E-38E91167BE94}">
      <text>
        <r>
          <rPr>
            <b/>
            <sz val="9"/>
            <color indexed="81"/>
            <rFont val="Tahoma"/>
            <family val="2"/>
          </rPr>
          <t>Courson, Kathleen (LNG-DAY):</t>
        </r>
        <r>
          <rPr>
            <sz val="9"/>
            <color indexed="81"/>
            <rFont val="Tahoma"/>
            <family val="2"/>
          </rPr>
          <t xml:space="preserve">
UK Author
</t>
        </r>
      </text>
    </comment>
    <comment ref="D13" authorId="0" shapeId="0" xr:uid="{D2203FAF-3E35-4F2E-9946-C8BA97A86543}">
      <text>
        <r>
          <rPr>
            <b/>
            <sz val="9"/>
            <color indexed="81"/>
            <rFont val="Tahoma"/>
            <family val="2"/>
          </rPr>
          <t>Courson, Kathleen (LNG-DAY):</t>
        </r>
        <r>
          <rPr>
            <sz val="9"/>
            <color indexed="81"/>
            <rFont val="Tahoma"/>
            <family val="2"/>
          </rPr>
          <t xml:space="preserve">
Canada UK US NOT MB Royalty</t>
        </r>
      </text>
    </comment>
    <comment ref="D14" authorId="0" shapeId="0" xr:uid="{F5F5AEF2-E847-4F15-908D-B537263B5637}">
      <text>
        <r>
          <rPr>
            <b/>
            <sz val="9"/>
            <color indexed="81"/>
            <rFont val="Tahoma"/>
            <family val="2"/>
          </rPr>
          <t>Courson, Kathleen (LNG-DAY):</t>
        </r>
        <r>
          <rPr>
            <sz val="9"/>
            <color indexed="81"/>
            <rFont val="Tahoma"/>
            <family val="2"/>
          </rPr>
          <t xml:space="preserve">
US MB Royalty
</t>
        </r>
      </text>
    </comment>
    <comment ref="D19" authorId="0" shapeId="0" xr:uid="{798A1631-3E90-419A-BD21-0CB942C77A80}">
      <text>
        <r>
          <rPr>
            <b/>
            <sz val="9"/>
            <color indexed="81"/>
            <rFont val="Tahoma"/>
            <family val="2"/>
          </rPr>
          <t>Courson, Kathleen (LNG-DAY):</t>
        </r>
        <r>
          <rPr>
            <sz val="9"/>
            <color indexed="81"/>
            <rFont val="Tahoma"/>
            <family val="2"/>
          </rPr>
          <t xml:space="preserve">
Regular Knowable Poland
</t>
        </r>
      </text>
    </comment>
    <comment ref="D20" authorId="0" shapeId="0" xr:uid="{3AC18978-74BC-4FD6-909D-25B7A696F923}">
      <text>
        <r>
          <rPr>
            <b/>
            <sz val="9"/>
            <color indexed="81"/>
            <rFont val="Tahoma"/>
            <family val="2"/>
          </rPr>
          <t>Courson, Kathleen (LNG-DAY):</t>
        </r>
        <r>
          <rPr>
            <sz val="9"/>
            <color indexed="81"/>
            <rFont val="Tahoma"/>
            <family val="2"/>
          </rPr>
          <t xml:space="preserve">
Freelancer Knowable Poland
</t>
        </r>
      </text>
    </comment>
    <comment ref="D21" authorId="0" shapeId="0" xr:uid="{2B920E79-00E3-4D22-987D-F58248FCC4A6}">
      <text>
        <r>
          <rPr>
            <b/>
            <sz val="9"/>
            <color indexed="81"/>
            <rFont val="Tahoma"/>
            <family val="2"/>
          </rPr>
          <t>Courson, Kathleen (LNG-DAY):</t>
        </r>
        <r>
          <rPr>
            <sz val="9"/>
            <color indexed="81"/>
            <rFont val="Tahoma"/>
            <family val="2"/>
          </rPr>
          <t xml:space="preserve">
Canada Print Royalty</t>
        </r>
      </text>
    </comment>
    <comment ref="D22" authorId="0" shapeId="0" xr:uid="{2AA23627-3F79-469A-A4B1-1E162A2032DC}">
      <text>
        <r>
          <rPr>
            <b/>
            <sz val="9"/>
            <color indexed="81"/>
            <rFont val="Tahoma"/>
            <family val="2"/>
          </rPr>
          <t>Courson, Kathleen (LNG-DAY):</t>
        </r>
        <r>
          <rPr>
            <sz val="9"/>
            <color indexed="81"/>
            <rFont val="Tahoma"/>
            <family val="2"/>
          </rPr>
          <t xml:space="preserve">
Canada Online Royalty</t>
        </r>
      </text>
    </comment>
    <comment ref="D23" authorId="0" shapeId="0" xr:uid="{BB5FFA6D-CA88-4913-9B35-9E66D3F56310}">
      <text>
        <r>
          <rPr>
            <b/>
            <sz val="9"/>
            <color indexed="81"/>
            <rFont val="Tahoma"/>
            <family val="2"/>
          </rPr>
          <t xml:space="preserve">Courson, Kathleen (LNG-DAY):
</t>
        </r>
        <r>
          <rPr>
            <sz val="9"/>
            <color indexed="81"/>
            <rFont val="Tahoma"/>
            <family val="2"/>
          </rPr>
          <t>US UK Flat Fee Author</t>
        </r>
      </text>
    </comment>
    <comment ref="D24" authorId="0" shapeId="0" xr:uid="{F0AB62EC-B8A0-4085-8AB2-4DDE992F47B4}">
      <text>
        <r>
          <rPr>
            <b/>
            <sz val="9"/>
            <color indexed="81"/>
            <rFont val="Tahoma"/>
            <family val="2"/>
          </rPr>
          <t>Courson, Kathleen (LNG-DAY):</t>
        </r>
        <r>
          <rPr>
            <sz val="9"/>
            <color indexed="81"/>
            <rFont val="Tahoma"/>
            <family val="2"/>
          </rPr>
          <t xml:space="preserve">
US UK Michie Author</t>
        </r>
      </text>
    </comment>
    <comment ref="D25" authorId="0" shapeId="0" xr:uid="{C4DD0552-1AB3-461F-84E7-A78FD9F19233}">
      <text>
        <r>
          <rPr>
            <b/>
            <sz val="9"/>
            <color indexed="81"/>
            <rFont val="Tahoma"/>
            <family val="2"/>
          </rPr>
          <t>Courson, Kathleen (LNG-DAY):</t>
        </r>
        <r>
          <rPr>
            <sz val="9"/>
            <color indexed="81"/>
            <rFont val="Tahoma"/>
            <family val="2"/>
          </rPr>
          <t xml:space="preserve">
Legal Settlement</t>
        </r>
      </text>
    </comment>
    <comment ref="D26" authorId="0" shapeId="0" xr:uid="{850806A4-544C-40B9-B1F2-29B590B3E01B}">
      <text>
        <r>
          <rPr>
            <b/>
            <sz val="9"/>
            <color indexed="81"/>
            <rFont val="Tahoma"/>
            <family val="2"/>
          </rPr>
          <t>Courson, Kathleen (LNG-DAY):</t>
        </r>
        <r>
          <rPr>
            <sz val="9"/>
            <color indexed="81"/>
            <rFont val="Tahoma"/>
            <family val="2"/>
          </rPr>
          <t xml:space="preserve">
Royalty Free Licensor</t>
        </r>
      </text>
    </comment>
    <comment ref="D27" authorId="0" shapeId="0" xr:uid="{7FEC7958-5B08-4573-BB8C-1B3176830344}">
      <text>
        <r>
          <rPr>
            <b/>
            <sz val="9"/>
            <color indexed="81"/>
            <rFont val="Tahoma"/>
            <family val="2"/>
          </rPr>
          <t>Courson, Kathleen (LNG-DAY):</t>
        </r>
        <r>
          <rPr>
            <sz val="9"/>
            <color indexed="81"/>
            <rFont val="Tahoma"/>
            <family val="2"/>
          </rPr>
          <t xml:space="preserve">
LN Austria Authors should be Net 7</t>
        </r>
      </text>
    </comment>
    <comment ref="D28" authorId="0" shapeId="0" xr:uid="{3FA7D0BB-0171-41EA-8B1B-8C0147C3488C}">
      <text>
        <r>
          <rPr>
            <b/>
            <sz val="9"/>
            <color indexed="81"/>
            <rFont val="Tahoma"/>
            <charset val="1"/>
          </rPr>
          <t>Courson, Kathleen (LNG-DAY):</t>
        </r>
        <r>
          <rPr>
            <sz val="9"/>
            <color indexed="81"/>
            <rFont val="Tahoma"/>
            <charset val="1"/>
          </rPr>
          <t xml:space="preserve">
LN Austria Royalties should be Net 7</t>
        </r>
      </text>
    </comment>
    <comment ref="D29" authorId="0" shapeId="0" xr:uid="{8D7AD0D3-5178-4B2D-AB3B-DB0D7EA40A5F}">
      <text>
        <r>
          <rPr>
            <b/>
            <sz val="9"/>
            <color indexed="81"/>
            <rFont val="Tahoma"/>
            <family val="2"/>
          </rPr>
          <t>Courson, Kathleen (LNG-DAY):</t>
        </r>
        <r>
          <rPr>
            <sz val="9"/>
            <color indexed="81"/>
            <rFont val="Tahoma"/>
            <family val="2"/>
          </rPr>
          <t xml:space="preserve">
LN South Africa defaults to Net 30</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<sst xmlns="http://schemas.openxmlformats.org/spreadsheetml/2006/main" count="7619" uniqueCount="3150">
  <si>
    <t>*</t>
  </si>
  <si>
    <t>Version 2.5 October 2025</t>
  </si>
  <si>
    <t>Select One…</t>
  </si>
  <si>
    <t xml:space="preserve">      </t>
  </si>
  <si>
    <r>
      <t xml:space="preserve">* </t>
    </r>
    <r>
      <rPr>
        <sz val="11"/>
        <rFont val="Calibri"/>
        <family val="2"/>
        <scheme val="minor"/>
      </rPr>
      <t>=</t>
    </r>
    <r>
      <rPr>
        <sz val="11"/>
        <color rgb="FFC00000"/>
        <rFont val="Calibri"/>
        <family val="2"/>
        <scheme val="minor"/>
      </rPr>
      <t xml:space="preserve"> </t>
    </r>
  </si>
  <si>
    <t>Business unit ビジネスユニット</t>
  </si>
  <si>
    <t>…</t>
  </si>
  <si>
    <t>ENTITY 记账公司:</t>
  </si>
  <si>
    <t>Select Yes or No</t>
  </si>
  <si>
    <t>Select one…</t>
  </si>
  <si>
    <t>Click</t>
  </si>
  <si>
    <r>
      <t xml:space="preserve">* </t>
    </r>
    <r>
      <rPr>
        <b/>
        <sz val="12"/>
        <rFont val="Calibri"/>
        <family val="2"/>
        <scheme val="minor"/>
      </rPr>
      <t>=</t>
    </r>
    <r>
      <rPr>
        <b/>
        <sz val="12"/>
        <color rgb="FFC00000"/>
        <rFont val="Calibri"/>
        <family val="2"/>
        <scheme val="minor"/>
      </rPr>
      <t xml:space="preserve"> </t>
    </r>
  </si>
  <si>
    <t>select a country…</t>
  </si>
  <si>
    <t>Please submit the following documents with this form:
     -  BIR Form 2307
     -  Sample copy of invoice or official receipt converted to invoice</t>
  </si>
  <si>
    <t>Attach BIR 2307</t>
  </si>
  <si>
    <t>Attach copy of blank Official Receipt</t>
  </si>
  <si>
    <t>VAT Registration Number</t>
  </si>
  <si>
    <t>BEE Rating Level</t>
  </si>
  <si>
    <t>Black Male Owned %</t>
  </si>
  <si>
    <t>Black Female Owned %</t>
  </si>
  <si>
    <t>Are you in possession of a valid BEE Certificate or Affidavit?
(Please provide copy of BEE Certificate or Affidavit.)</t>
  </si>
  <si>
    <t>HST…</t>
  </si>
  <si>
    <t>GST…</t>
  </si>
  <si>
    <t>QST…</t>
  </si>
  <si>
    <t>Click to Submit India Registrations</t>
  </si>
  <si>
    <t>T</t>
  </si>
  <si>
    <t>Click here</t>
  </si>
  <si>
    <t>USD-United States $</t>
  </si>
  <si>
    <t>Company Chop 供应商公章</t>
  </si>
  <si>
    <t>说明： 若更改现有的供应商档案信息，则填写需要更改的字段，未填写的默认未更改；
不能在打印的空白表格上手动填写；必须在EXCEL中填写之后再打印并签字盖章；
左边第一列标注*的字段为必填项；
银行的联行号可以通过www.kaihuhang.cn查询；
请将电子表格和签字盖章后的PDF文件发到以下邮箱：</t>
  </si>
  <si>
    <t>+1 866 960 2959</t>
  </si>
  <si>
    <t>LexisNexis</t>
  </si>
  <si>
    <t>Attn Accounts Payable, 9443 Springboro Pike, Miamisburg, OH 45342, USA</t>
  </si>
  <si>
    <t>REQUESTER NAME</t>
  </si>
  <si>
    <t>TYPE OF REQUEST</t>
  </si>
  <si>
    <t>REGION</t>
  </si>
  <si>
    <t>PAYMENT TERMS</t>
  </si>
  <si>
    <t>OLD PEOPLESOFT VENDOR ID</t>
  </si>
  <si>
    <t>ADDITIONAL SETUP NOTES</t>
  </si>
  <si>
    <t>TAX WITHHOLDING INFORMATION</t>
  </si>
  <si>
    <t>TAX FORM REQUIREMENTS</t>
  </si>
  <si>
    <t>FORM:</t>
  </si>
  <si>
    <t>INSTRUCTIONS:</t>
  </si>
  <si>
    <t>In this document the term Supplier refers to Suppliers, Authors, and Contractors.</t>
  </si>
  <si>
    <t>YOU ONLY NEED TO WORK FROM THE 'FORM' TAB.</t>
  </si>
  <si>
    <t xml:space="preserve">All other tabs are for specific countries only and, if needed, </t>
  </si>
  <si>
    <t>you will be directed to those tabs from the 'Form' tab.</t>
  </si>
  <si>
    <r>
      <rPr>
        <b/>
        <i/>
        <u/>
        <sz val="11"/>
        <color theme="1"/>
        <rFont val="Calibri"/>
        <family val="2"/>
        <scheme val="minor"/>
      </rPr>
      <t>INTERNAL BUSINESS REQUESTOR</t>
    </r>
    <r>
      <rPr>
        <sz val="11"/>
        <color theme="1"/>
        <rFont val="Calibri"/>
        <family val="2"/>
        <scheme val="minor"/>
      </rPr>
      <t>: Complete the internal section of the form (rows 7 through 46). Provide the partially completed form to your vendor/author contact for further completion.</t>
    </r>
  </si>
  <si>
    <r>
      <t xml:space="preserve">Note regarding </t>
    </r>
    <r>
      <rPr>
        <b/>
        <i/>
        <sz val="11"/>
        <color theme="1"/>
        <rFont val="Calibri"/>
        <family val="2"/>
        <scheme val="minor"/>
      </rPr>
      <t>LEGAL SETTLEMENTS</t>
    </r>
    <r>
      <rPr>
        <i/>
        <sz val="11"/>
        <color theme="1"/>
        <rFont val="Calibri"/>
        <family val="2"/>
        <scheme val="minor"/>
      </rPr>
      <t>: The internal business requestor may complete the Supplier section of this form - it is not necessary to send the form to the plaintiff or firm for completion. Only information needed to make the payment is necessary (remit address, banking details if required, etc). 
Any required tax documentation will still need to be provided by the plaintiff and/or firm.</t>
    </r>
  </si>
  <si>
    <r>
      <rPr>
        <b/>
        <i/>
        <u/>
        <sz val="11"/>
        <color theme="1"/>
        <rFont val="Calibri"/>
        <family val="2"/>
        <scheme val="minor"/>
      </rPr>
      <t>SUPPLIER/AUTHOR/CONTRACTOR</t>
    </r>
    <r>
      <rPr>
        <b/>
        <i/>
        <sz val="11"/>
        <color theme="1"/>
        <rFont val="Calibri"/>
        <family val="2"/>
        <scheme val="minor"/>
      </rPr>
      <t xml:space="preserve">: </t>
    </r>
  </si>
  <si>
    <t xml:space="preserve">Complete the supplier section of the form (rows 47 through 171). </t>
  </si>
  <si>
    <t xml:space="preserve">     * If you are a current supplier updating your address
or adding an additional remit address, you only need to 
fill in the address section. </t>
  </si>
  <si>
    <t xml:space="preserve">     * If you are a current supplier making a change to your banking details, you only need to complete rows 140 through 171.</t>
  </si>
  <si>
    <t xml:space="preserve">Gather any required supporting documentation as indicated for the respective regions. </t>
  </si>
  <si>
    <t xml:space="preserve">Accounts Payable will only accept the completed form in a PDF format. </t>
  </si>
  <si>
    <t>There are two ways to convert the file to PDF.</t>
  </si>
  <si>
    <t xml:space="preserve">     * Select Save As and choose a Save as type of PDF </t>
  </si>
  <si>
    <t xml:space="preserve">     * Select Print and choose a Printer of Microsoft Print to PDF</t>
  </si>
  <si>
    <t xml:space="preserve">If you have Adobe software, sign the form digitally. If not, print the PDF version and sign the form. </t>
  </si>
  <si>
    <t>Scan all PDF pages of the supplier form as well as any other required paperwork and email to ap.globalvendormaintenance@lexisnexis.com.</t>
  </si>
  <si>
    <t>IMPORTANT NOTES:</t>
  </si>
  <si>
    <r>
      <t xml:space="preserve">Rows highlighted in </t>
    </r>
    <r>
      <rPr>
        <b/>
        <sz val="11"/>
        <color theme="1"/>
        <rFont val="Calibri"/>
        <family val="2"/>
        <scheme val="minor"/>
      </rPr>
      <t>gray</t>
    </r>
    <r>
      <rPr>
        <sz val="11"/>
        <color theme="1"/>
        <rFont val="Calibri"/>
        <family val="2"/>
        <scheme val="minor"/>
      </rPr>
      <t xml:space="preserve"> will populate if the question contained in that row is relevant for your region.</t>
    </r>
  </si>
  <si>
    <t>The Accounts Payable Vendor Maintenance team will make a phone call to the supplier to validate the banking details. This is a RELX compliance control to ensure everyone's safety against fraud.</t>
  </si>
  <si>
    <t xml:space="preserve">All required information must be complete and provided in a timely manner to avoid delays in processing. </t>
  </si>
  <si>
    <t xml:space="preserve">Email ap.globalvendormaintenance@lexisnexis.com with any questions or concerns. </t>
  </si>
  <si>
    <t>LN FRANCE FORM</t>
  </si>
  <si>
    <t>YOU ONLY NEED TO WORK FROM THE 'LN FRANCE FORM' TAB.</t>
  </si>
  <si>
    <r>
      <rPr>
        <b/>
        <i/>
        <u/>
        <sz val="11"/>
        <color theme="1"/>
        <rFont val="Calibri"/>
        <family val="2"/>
        <scheme val="minor"/>
      </rPr>
      <t>INTERNAL BUSINESS REQUESTOR</t>
    </r>
    <r>
      <rPr>
        <sz val="11"/>
        <color theme="1"/>
        <rFont val="Calibri"/>
        <family val="2"/>
        <scheme val="minor"/>
      </rPr>
      <t>: Complete the internal section of the form (rows 7 through 41). Provide the partially completed form to your vendor/author contact for further completion.</t>
    </r>
  </si>
  <si>
    <t xml:space="preserve">Complete the supplier section of the form (rows 42 through 118). </t>
  </si>
  <si>
    <t xml:space="preserve">     * If you are a current supplier making a change to your banking details, you only need to complete rows 101 through 118.</t>
  </si>
  <si>
    <t>Scan all PDF pages of the supplier form as well as any other required paperwork and email to AP.FRvendormaintenance@lexisnexis.fr.</t>
  </si>
  <si>
    <t xml:space="preserve">Email AP.FRvendormaintenance@lexisnexis.fr with any questions or concerns. </t>
  </si>
  <si>
    <t>INSTRUCTIONS :</t>
  </si>
  <si>
    <t>IL SUFFIT DE TRAVAILLER À PARTIR DE L'ONGLET "LN FRANCE FORM".</t>
  </si>
  <si>
    <t>Tous les autres onglets sont réservés à des pays spécifiques et, le cas échéant, à des pays particuliers, vous serez dirigé vers ces onglets à partir de l'onglet "Formulaire".</t>
  </si>
  <si>
    <r>
      <rPr>
        <b/>
        <u/>
        <sz val="11"/>
        <color theme="1"/>
        <rFont val="Calibri"/>
        <family val="2"/>
        <scheme val="minor"/>
      </rPr>
      <t>DEMANDEUR INTERNE</t>
    </r>
    <r>
      <rPr>
        <sz val="11"/>
        <color theme="1"/>
        <rFont val="Calibri"/>
        <family val="2"/>
        <scheme val="minor"/>
      </rPr>
      <t xml:space="preserve"> : Remplir la partie interne du formulaire (lignes 7 à 41). Remettez le formulaire partiellement rempli à votre contact fournisseur/auteur pour qu'il le complète.</t>
    </r>
  </si>
  <si>
    <t xml:space="preserve">FOURNISSEUR/AUTEUR/CONTRACTANT : </t>
  </si>
  <si>
    <t>-</t>
  </si>
  <si>
    <t xml:space="preserve">Remplir la partie du formulaire consacrée au fournisseur (lignes 42 à 118). </t>
  </si>
  <si>
    <t>* Si vous êtes un fournisseur actuel et que vous mettez à jour votre adresse
ou l'ajout d'une adresse de remise supplémentaire, vous n'avez qu'à 
de remplir la section "adresse"</t>
  </si>
  <si>
    <t xml:space="preserve"> * Si vous êtes un fournisseur actuel et que vous modifiez vos coordonnées bancaires, vous ne devez remplir que les lignes 101 à 118.</t>
  </si>
  <si>
    <t xml:space="preserve">Rassembler toutes les pièces justificatives requises, comme indiqué pour les régions respectives. </t>
  </si>
  <si>
    <t xml:space="preserve">Cliquez sur le bouton de la ligne 120 pour ouvrir le formulaire au format PDF. Si vous disposez du logiciel Adobe, signez le formulaire numériquement. Sinon, imprimez la version PDF et signez le formulaire. </t>
  </si>
  <si>
    <t xml:space="preserve">Le service des comptes créditeurs n'acceptera que le formulaire rempli au format PDF. </t>
  </si>
  <si>
    <t>Il existe deux manières de convertir le fichier en PDF.</t>
  </si>
  <si>
    <t xml:space="preserve">     * Sélectionnez Enregistrer sous et choisissez un type d'enregistrement sous PDF</t>
  </si>
  <si>
    <t xml:space="preserve">     * Sélectionnez Imprimer et choisissez une imprimante Microsoft Print to PDF</t>
  </si>
  <si>
    <t>Scannez toutes les pages PDF du formulaire du fournisseur ainsi que tout autre document requis et envoyez-les par courriel à LNG-PAR Vendor Maintenance &lt;AP.FRvendormaintenance@lexisnexis.fr&gt;</t>
  </si>
  <si>
    <t>NOTES IMPORTANTES :</t>
  </si>
  <si>
    <t>Les lignes surlignées en gris s'affichent si la question qu'elles contiennent est pertinente pour votre région.</t>
  </si>
  <si>
    <t>L'équipe de la comptabilité fournisseurs passera un coup de fil au fournisseur pour valider les coordonnées bancaires. Il s'agit d'un contrôle de conformité RELX visant à garantir la sécurité de tous contre la fraude.</t>
  </si>
  <si>
    <t xml:space="preserve">Toutes les informations requises doivent être complètes et fournies dans les délais impartis afin d'éviter tout retard dans le traitement de la demande. </t>
  </si>
  <si>
    <t xml:space="preserve">Email LNG-PAR Vendor Maintenance &lt;AP.FRvendormaintenance@lexisnexis.fr&gt; with any questions or concerns. </t>
  </si>
  <si>
    <t>LN AUSTRIA FORM</t>
  </si>
  <si>
    <t>ANLEITUNG:</t>
  </si>
  <si>
    <t>SIE MÜSSEN NUR MIT DIESER REGISTERKARTE ARBEITEN.</t>
  </si>
  <si>
    <t>Alle anderen Registerkarten sind nur für bestimmte Länder bestimmt und Sie werden bei Bedarf von der Registerkarte „Formular“ zu diesen Registerkarten weitergeleitet.</t>
  </si>
  <si>
    <r>
      <rPr>
        <b/>
        <i/>
        <u/>
        <sz val="11"/>
        <color rgb="FFFF0000"/>
        <rFont val="Calibri"/>
        <family val="2"/>
        <scheme val="minor"/>
      </rPr>
      <t>INTERNER BEARBEITER</t>
    </r>
    <r>
      <rPr>
        <b/>
        <i/>
        <u/>
        <sz val="11"/>
        <color theme="1"/>
        <rFont val="Calibri"/>
        <family val="2"/>
        <scheme val="minor"/>
      </rPr>
      <t>:</t>
    </r>
    <r>
      <rPr>
        <b/>
        <i/>
        <sz val="11"/>
        <color theme="1"/>
        <rFont val="Calibri"/>
        <family val="2"/>
        <scheme val="minor"/>
      </rPr>
      <t xml:space="preserve"> </t>
    </r>
    <r>
      <rPr>
        <sz val="11"/>
        <color theme="1"/>
        <rFont val="Calibri"/>
        <family val="2"/>
        <scheme val="minor"/>
      </rPr>
      <t>Füllen Sie den internen Abschnitt des Formulars (Zeilen 7 bis 34) aus. Geben Sie das teilweise ausgefüllte Formular zur weiteren Vervollständigung an Ihren Lieferanten-/Autorenkontakt weiter.</t>
    </r>
  </si>
  <si>
    <t>LIEFERANT/AUTOR/AUFTRAGNEHMER:</t>
  </si>
  <si>
    <r>
      <t xml:space="preserve">* Wenn Sie als </t>
    </r>
    <r>
      <rPr>
        <i/>
        <sz val="11"/>
        <color rgb="FFFF0000"/>
        <rFont val="Calibri"/>
        <family val="2"/>
        <scheme val="minor"/>
      </rPr>
      <t>bestehender</t>
    </r>
    <r>
      <rPr>
        <i/>
        <sz val="11"/>
        <color theme="1"/>
        <rFont val="Calibri"/>
        <family val="2"/>
        <scheme val="minor"/>
      </rPr>
      <t xml:space="preserve"> Lieferant Ihre Adresse aktualisieren oder eine zusätzliche Zahlungsadresse hinzufügen, müssen Sie nur den Adressbereich ausfüllen.</t>
    </r>
  </si>
  <si>
    <r>
      <t xml:space="preserve">* Wenn Sie ein </t>
    </r>
    <r>
      <rPr>
        <i/>
        <sz val="11"/>
        <color rgb="FFFF0000"/>
        <rFont val="Calibri"/>
        <family val="2"/>
        <scheme val="minor"/>
      </rPr>
      <t>bestehender</t>
    </r>
    <r>
      <rPr>
        <i/>
        <sz val="11"/>
        <color theme="1"/>
        <rFont val="Calibri"/>
        <family val="2"/>
        <scheme val="minor"/>
      </rPr>
      <t xml:space="preserve"> Lieferant sind und eine Änderung Ihrer Bankdaten vornehmen, müssen Sie nur die Zeilen 69 bis 86 ausfüllen.</t>
    </r>
  </si>
  <si>
    <t>Sammeln Sie alle erforderlichen Belege, wie für die jeweiligen Regionen angegeben.</t>
  </si>
  <si>
    <t>Es gibt zwei Möglichkeiten, die Datei in PDF zu konvertieren.</t>
  </si>
  <si>
    <t xml:space="preserve">     * Wählen Sie entweder „Speichern unter“ und anschließend „PDF“ oder „Drucken“ und wählen Sie „Drucker“ oder „Microsoft Print to PDF“.</t>
  </si>
  <si>
    <t>Wenn Sie über Adobe-Software verfügen, unterschreiben Sie das Formular digital. Andernfalls drucken Sie die PDF-Version aus und unterschreiben das Formular.</t>
  </si>
  <si>
    <t>Die Kreditorenbuchhaltung akzeptiert das ausgefüllte Formular nur im PDF-Format.</t>
  </si>
  <si>
    <t>Scannen Sie alle PDF-Seiten des Lieferantenformulars sowie alle anderen erforderlichen Unterlagen und senden Sie sie per E-Mail an ap.globalvendormaintenance@lexisnexis.com.</t>
  </si>
  <si>
    <t>Grau hervorgehobene Zeilen müssen nur dann ausgefüllt werden, wenn die darin enthaltene Frage für Ihre Region relevant ist.</t>
  </si>
  <si>
    <t>Ein Mitarbeiter der Buchhaltung ruft den Lieferanten/Autoren an, um die Bankdaten zu bestätigen. Dies ist eine LexisNexis Legal &amp; Professional und RELX-Compliance-Kontrolle, die Betrug verhindern soll.</t>
  </si>
  <si>
    <t>Um Verzögerungen bei der Bearbeitung zu vermeiden, müssen alle erforderlichen Angaben vollständig und zeitnah erfolgen.</t>
  </si>
  <si>
    <t>Senden Sie bei Fragen oder Anliegen eine E-Mail an ap.globalvendormaintenance@lexisnexis.com.</t>
  </si>
  <si>
    <t>LN SOUTH AFRICA FORM:</t>
  </si>
  <si>
    <r>
      <rPr>
        <b/>
        <i/>
        <u/>
        <sz val="11"/>
        <color theme="1"/>
        <rFont val="Calibri"/>
        <family val="2"/>
        <scheme val="minor"/>
      </rPr>
      <t>INTERNAL BUSINESS REQUESTOR</t>
    </r>
    <r>
      <rPr>
        <sz val="11"/>
        <color theme="1"/>
        <rFont val="Calibri"/>
        <family val="2"/>
        <scheme val="minor"/>
      </rPr>
      <t>: Complete the internal section of the form (rows 7 through 33). Provide the partially completed form to your vendor/author contact for further completion.</t>
    </r>
  </si>
  <si>
    <t xml:space="preserve">Complete the supplier section of the form (rows 35 through 90). </t>
  </si>
  <si>
    <t xml:space="preserve">     * If you are a current supplier making a change to your banking details, you only need to complete rows 74 through 90.</t>
  </si>
  <si>
    <t>Scan all PDF pages of the supplier form as well as any other required paperwork and email to procurement.sa@lexisnexis.co.za.</t>
  </si>
  <si>
    <t xml:space="preserve">Email procurement.sa@lexisnexis.co.za with any questions or concerns. </t>
  </si>
  <si>
    <t>SELECTED LANG:</t>
  </si>
  <si>
    <t>Translation not verified.</t>
  </si>
  <si>
    <t>FIELD:</t>
  </si>
  <si>
    <t>English</t>
  </si>
  <si>
    <t>Polish</t>
  </si>
  <si>
    <t>Chinese 中文</t>
  </si>
  <si>
    <t>Japanese 日本語</t>
  </si>
  <si>
    <t>Korean 한국어</t>
  </si>
  <si>
    <t>French</t>
  </si>
  <si>
    <t>Spanish</t>
  </si>
  <si>
    <t>German</t>
  </si>
  <si>
    <t>FINAL</t>
  </si>
  <si>
    <t>langdd</t>
  </si>
  <si>
    <t xml:space="preserve">  (</t>
  </si>
  <si>
    <t>Language</t>
  </si>
  <si>
    <t>)</t>
  </si>
  <si>
    <t>Language (语言)</t>
  </si>
  <si>
    <t>Language (言語)</t>
  </si>
  <si>
    <t>Language (언어)</t>
  </si>
  <si>
    <t>DISCLAIMER</t>
  </si>
  <si>
    <t>This form is used to gather information required by our financial department to pay your expenses, honoraria or other costs. RELX will not use this information for any other purpose than that mentioned above. This information MUST be received before any payment can be made. For terms and conditions we refer to the agreement made between you and your RELX legal trading entity.</t>
  </si>
  <si>
    <t>Formularz ten służy do zbierania informacji wymaganych przez nasz dział finansowy do pokrycia Twoich wydatków, honorariów lub innych kosztów. RELX nie wykorzysta tych informacji w żadnym innym celu niż wymieniony powyżej. Informacje te MUSZĄ zostać otrzymane przed dokonaniem jakiejkolwiek płatności. Warunki i zasady można znaleźć w umowie zawartej między Tobą a prawnym podmiotem handlowym RELX.</t>
  </si>
  <si>
    <t>该表格用于收集我们财务部门要求的信息，以支付您的费用，酬金或其他费用。 RELX不会将这些信息用于上述目的之外的任何其他目的。 必须先收到此信息，然后才能进行任何付款。 对于条款和条件，我们参考您与您的RELX合法贸易实体之间达成的协议。</t>
  </si>
  <si>
    <t>このフォームは、経費、謝礼金、またはその他の費用を支払うために財務部門が必要とする情報を収集するために使用されます。 RELXは、上記以外の目的でこの情報を使用することはありません。 この情報は、支払いを行う前に受信する必要があります。 契約条件については、お客様とRELXの法的取引エンティティとの間で締結された契約を参照します。</t>
  </si>
  <si>
    <t>이 양식은 귀하의 비용, 명예 또는 기타 비용을 지불하기 위해 재무 부서에서 요구하는 정보를 수집하는 데 사용됩니다. RELX는 위에서 언급 한 것 이외의 다른 목적으로이 정보를 사용하지 않습니다. 이 정보는 지불이 이루어지기 전에 수신되어야합니다. 이용 약관은 귀하와 귀하의 RELX 법인 거래 법인 간의 계약을 참조합니다.</t>
  </si>
  <si>
    <t>Ce formulaire est utilisé pour recueillir les informations requises par notre service financier pour payer vos dépenses, honoraires ou autres frais. RELX n'utilisera ces informations à aucune autre fin que celle mentionnée ci-dessus. Ces informations DOIVENT être reçues avant tout paiement. Pour les termes et conditions, nous nous référons à l'accord conclu entre vous et votre entité commerciale légale RELX.</t>
  </si>
  <si>
    <t>Este formulario se utiliza para recopilar la información requerida por nuestro departamento financiero para pagar sus gastos, honorarios u otros costos. RELX no utilizará esta información para ningún otro propósito que el mencionado anteriormente. Esta información DEBE recibirse antes de que se pueda realizar cualquier pago. Para conocer los términos y condiciones, nos referimos al acuerdo realizado entre usted y su entidad comercial legal RELX.</t>
  </si>
  <si>
    <t>Dieses Formular wird verwendet, um Informationen zu sammeln, die von unserer Finanzabteilung benötigt werden, um Ihre Ausgaben, Honorare oder andere Kosten zu bezahlen. RELX wird diese Informationen nicht für andere als die oben genannten Zwecke verwenden. Diese Informationen MÜSSEN eingegangen sein, bevor eine Zahlung erfolgen kann. Für die Allgemeinen Geschäftsbedingungen verweisen wir auf die Vereinbarung, die zwischen Ihnen und Ihrer juristischen Person von RELX getroffen wurde.</t>
  </si>
  <si>
    <t>INSTRUCTIONS</t>
  </si>
  <si>
    <t>Please complete ALL required fields and submit as directed below.</t>
  </si>
  <si>
    <t xml:space="preserve">Prosimy uzupełnić WSZYSTKIE pola obowiązkowe i wysłać formularz zgodnie z instrukcją podaną poniżej. </t>
  </si>
  <si>
    <t>请按照以下说明，填写所有必填字段并提交</t>
  </si>
  <si>
    <t>以下の指示に従いすべての必須入力項目 にご入力のうえ、送信してください。</t>
  </si>
  <si>
    <t>모든 필수 필드를 작성하고 아래 지시에 따라 제출하십시오.</t>
  </si>
  <si>
    <t xml:space="preserve">Veuillez s'il vous plaît remplir TOUS les champs obligatoires et les valider selon les instructions ci-dessous. </t>
  </si>
  <si>
    <t>Por favor complete TODOS los campos obligatorios y envíelos como se indica a continuación.</t>
  </si>
  <si>
    <t xml:space="preserve">Vervollständigen Sie ALLE Pflichtfelder und geben Sie wie unten angewiesen ab. </t>
  </si>
  <si>
    <t>Please complete ALL required fields in this section and forward to your supplier contact for completion.</t>
  </si>
  <si>
    <t>Wypełnij WSZYSTKIE wymagane pola w tej sekcji i prześlij do swojego dostawcy w celu wypełnienia.</t>
  </si>
  <si>
    <t>请填写本节中的所有必填字段，并将其转发给您的供应商联系人以完成。</t>
  </si>
  <si>
    <t>このセクションのすべての必須フィールドに入力し、サプライヤーの連絡先に転送して入力してください。</t>
  </si>
  <si>
    <t>이 섹션의 모든 필수 필드를 작성하고 완료를 위해 공급 업체 담당자에게 전달하십시오.</t>
  </si>
  <si>
    <t>Veuillez remplir TOUS les champs obligatoires de cette section et transmettre à votre contact fournisseur pour qu'il soit complété.</t>
  </si>
  <si>
    <t>Complete TODOS los campos obligatorios en esta sección y reenvíelos al contacto de su proveedor para completarlos.</t>
  </si>
  <si>
    <t>Bitte füllen Sie ALLE erforderlichen Felder in diesem Abschnitt aus und leiten Sie sie zur Vervollständigung an Ihren Lieferantenkontakt weiter.</t>
  </si>
  <si>
    <t>INVOICING STATEMENT</t>
  </si>
  <si>
    <t>Click on the blue box to view important RELX Global invoicing requirements. Following these requirements will reduce the risk of late payments or invoice rejections. (Not applicable to US Authors)</t>
  </si>
  <si>
    <t>Kliknij niebieskie pole, aby wyświetlić ważne wymagania dotyczące fakturowania RELX Global. Przestrzeganie tych wymagań zmniejszy ryzyko opóźnień w płatnościach lub odrzucenia faktur. (Nie dotyczy autorów z USA)</t>
  </si>
  <si>
    <t>点击蓝色框查看重要的 RELX Global 开票要求。 遵循这些要求将降低延迟付款或发票被拒的风险。 （不适用于美国作者）</t>
  </si>
  <si>
    <t>青いボックスをクリックして、重要なRELXグローバル請求要件を表示します。 これらの要件に従うことで、支払い遅延や請求書の拒否のリスクを減らすことができます。 （米国の著者には適用されません）</t>
  </si>
  <si>
    <t>중요한 RELX 글로벌 송장 발행 요건을 보려면 파란색 상자를 클릭하십시오. 이러한 요구 사항을 따르면 지불이 지연되거나 송장 거부가 발생할 위험이 줄어듭니다. (미국 작가에게는 해당되지 않음)</t>
  </si>
  <si>
    <t>Cliquez sur la case bleue pour afficher les exigences de facturation importantes de RELX Global. Le respect de ces exigences réduira le risque de retard de paiement ou de rejet de facture. (Non applicable aux auteurs américains)</t>
  </si>
  <si>
    <t>Haga clic en el cuadro azul para ver los requisitos de facturación importantes de RELX Global. Seguir estos requisitos reducirá el riesgo de pagos atrasados o rechazos de facturas. (No aplicable a autores de EE. UU.)</t>
  </si>
  <si>
    <t>Klicken Sie auf das blaue Kästchen, um wichtige Rechnungsanforderungen von RELX Global anzuzeigen. Die Einhaltung dieser Anforderungen verringert das Risiko verspäteter Zahlungen oder der Ablehnung von Rechnungen. (Gilt nicht für US-Autoren)</t>
  </si>
  <si>
    <t>INVOICING REQUIREMENTS</t>
  </si>
  <si>
    <t>RELX Global Invoicing Requirements</t>
  </si>
  <si>
    <t>Globalne wymagania dotyczące fakturowania RELX</t>
  </si>
  <si>
    <t>RELX全球发票要求</t>
  </si>
  <si>
    <t>RELXグローバル請求要件</t>
  </si>
  <si>
    <t>RELX 글로벌 인보이스 요구 사항</t>
  </si>
  <si>
    <t>Exigences de facturation globale de RELX</t>
  </si>
  <si>
    <t>Requisitos de facturación global de RELX</t>
  </si>
  <si>
    <t>Globale Rechnungsstellungsanforderungen von RELX</t>
  </si>
  <si>
    <t>REQUIRED</t>
  </si>
  <si>
    <t>Required Field</t>
  </si>
  <si>
    <t>Pole wymagane</t>
  </si>
  <si>
    <t>必填项目</t>
  </si>
  <si>
    <t xml:space="preserve">必須入力項目 </t>
  </si>
  <si>
    <t>필수 입력란</t>
  </si>
  <si>
    <t>Champs obligatoires</t>
  </si>
  <si>
    <t>Campo requerido</t>
  </si>
  <si>
    <t>Pflichtfeld</t>
  </si>
  <si>
    <t>SUPPLIER ENROLLMENT FORM</t>
  </si>
  <si>
    <t>GLOBAL ACCOUNTS PAYABLE ENROLLMENT FORM</t>
  </si>
  <si>
    <t>FORMULARZ REJESTRACJI PŁATNYCH RACHUNKÓW GLOBALNYCH</t>
  </si>
  <si>
    <t>全球应付帐款申请表</t>
  </si>
  <si>
    <t>グローバル買掛金登録フォーム</t>
  </si>
  <si>
    <t>글로벌 계정 지불 가능 등록 양식</t>
  </si>
  <si>
    <t>FORMULAIRE D'INSCRIPTION GLOBAL COMPTES PAYABLES</t>
  </si>
  <si>
    <t>FORMULARIO DE INSCRIPCIÓN DE CUENTAS POR PAGAR GLOBALES</t>
  </si>
  <si>
    <t>ANMELDEFORMULAR FÜR GLOBALE KREDITKONTEN</t>
  </si>
  <si>
    <t>PO INVOICE STATEMENT</t>
  </si>
  <si>
    <t>No invoices or royalty payments will be paid prior to receipt of completed forms and validation callback.</t>
  </si>
  <si>
    <t>Żadne faktury ani opłaty licencyjne nie będą opłacane przed otrzymaniem wypełnionych formularzy i oddzwonieniem do weryfikacji.</t>
  </si>
  <si>
    <t>在收到完整的表格和确认回执之前，不会支付任何发票或特许权使用费。</t>
  </si>
  <si>
    <t>記入済みのフォームと検証コールバックを受け取る前に、請求書やロイヤルティの支払いは行われません。</t>
  </si>
  <si>
    <t>완료된 양식 및 유효성 확인 콜백을 받기 전에는 송장이나 로열티를 지불하지 않습니다.</t>
  </si>
  <si>
    <t>Aucune facture ou paiement de redevance ne sera payé avant la réception des formulaires remplis et le rappel de validation.</t>
  </si>
  <si>
    <t>No se pagarán facturas ni pagos de regalías antes de recibir los formularios completados y la devolución de llamada de validación.</t>
  </si>
  <si>
    <t>Vor Erhalt der ausgefüllten Formulare und des Rückrufs zur Validierung werden keine Rechnungen oder Lizenzgebühren gezahlt.</t>
  </si>
  <si>
    <t>INTERNAL USE STATEMENT</t>
  </si>
  <si>
    <t>For internal use by LexisNexis Legal &amp; Professional and RELX</t>
  </si>
  <si>
    <t>Do użytku wewnętrznego przez LexisNexis Legal &amp; Professional i RELX</t>
  </si>
  <si>
    <t>以下均由律商联讯内部员工填写</t>
  </si>
  <si>
    <t>LN Legal＆Professional RELX社内利用欄</t>
  </si>
  <si>
    <t>LN Legal &amp; Professional 및 RELX 의 내부 용</t>
  </si>
  <si>
    <t>Pour usage interne de LexisNexis Legal &amp; Professional et RELX</t>
  </si>
  <si>
    <t>Para uso interno de LN Legal &amp; Professional y RELX</t>
  </si>
  <si>
    <t>Für den internen Gebrauch durch LN Legal &amp; Professional und RELX</t>
  </si>
  <si>
    <t>REQUEST DATE</t>
  </si>
  <si>
    <t>Request Date</t>
  </si>
  <si>
    <t>Data zapytania</t>
  </si>
  <si>
    <t>申请日期</t>
  </si>
  <si>
    <t>提出年月日</t>
  </si>
  <si>
    <t xml:space="preserve"> 년,월,일</t>
  </si>
  <si>
    <t>Date de la demande</t>
  </si>
  <si>
    <t>Fecha de solicitud</t>
  </si>
  <si>
    <t>Anforderungsdatum</t>
  </si>
  <si>
    <t>Request Reason</t>
  </si>
  <si>
    <t>Powód żądania</t>
  </si>
  <si>
    <t>请求原因</t>
  </si>
  <si>
    <t>リクエスト理由</t>
  </si>
  <si>
    <t>요청 사유</t>
  </si>
  <si>
    <t>Motif de la demande</t>
  </si>
  <si>
    <t>Motivo de la solicitud</t>
  </si>
  <si>
    <t>Grund der Anfrage</t>
  </si>
  <si>
    <t>SUPPLIER TO CHANGE</t>
  </si>
  <si>
    <t>Supplier to change:</t>
  </si>
  <si>
    <t>Dostawca do zmiany:</t>
  </si>
  <si>
    <t>供应商变更：</t>
  </si>
  <si>
    <t>変更するサプライヤー：</t>
  </si>
  <si>
    <t>공급 업체 변경 :</t>
  </si>
  <si>
    <t>Fournisseur à modifier :</t>
  </si>
  <si>
    <t>Proveedor para cambiar:</t>
  </si>
  <si>
    <t>Lieferant zu ändern:</t>
  </si>
  <si>
    <t>PS SUPPLIER NAME</t>
  </si>
  <si>
    <t>Supplier Name</t>
  </si>
  <si>
    <t>Nazwa dostawcy</t>
  </si>
  <si>
    <t>供应商名称</t>
  </si>
  <si>
    <t>サプライヤー名</t>
  </si>
  <si>
    <t>공급 업체 이름</t>
  </si>
  <si>
    <t>Nom du fournisseur</t>
  </si>
  <si>
    <t>Nombre del proveedor</t>
  </si>
  <si>
    <t>Name des PeopleSoft-Lieferanten</t>
  </si>
  <si>
    <t>PS SUPPLIER NUMBER</t>
  </si>
  <si>
    <t>Supplier #</t>
  </si>
  <si>
    <t>Dostawca #</t>
  </si>
  <si>
    <t>供应商编号</t>
  </si>
  <si>
    <t>サプライヤー＃</t>
  </si>
  <si>
    <t>공급 업체 #</t>
  </si>
  <si>
    <t>Code fournisseur</t>
  </si>
  <si>
    <t># De proveedor</t>
  </si>
  <si>
    <t>PeopleSoft-Lieferantennummer</t>
  </si>
  <si>
    <t>UNSURE OF SUPPLIER INFO NOTE</t>
  </si>
  <si>
    <t>Leave blank if unknown. (Providing this information will assist AP in updating the supplier.)</t>
  </si>
  <si>
    <t>Pozostaw puste, jeśli nieznane. (Podanie tych informacji pomoże AP w aktualizacji dostawcy).</t>
  </si>
  <si>
    <t>如果未知，请留空。 （提供此信息将帮助AP更新供应商。）</t>
  </si>
  <si>
    <t>不明な場合は空白のままにします。 （この情報を提供すると、APがサプライヤーを更新するのに役立ちます。）</t>
  </si>
  <si>
    <t>알 수없는 경우 비워 둡니다. (이 정보를 제공하면 AP가 공급 업체를 업데이트하는 데 도움이됩니다.)</t>
  </si>
  <si>
    <t>Laisser vide si inconnu. (Fournir ces informations aidera AP à mettre à jour le fournisseur.)</t>
  </si>
  <si>
    <t>Déjelo en blanco si no lo sabe. (Proporcionar esta información ayudará a AP a actualizar el proveedor).</t>
  </si>
  <si>
    <t>Leer lassen, wenn unbekannt. (Die Angabe dieser Informationen unterstützt AP bei der Aktualisierung des Lieferanten.)</t>
  </si>
  <si>
    <t>WHAT CHANGE</t>
  </si>
  <si>
    <t>What needs to be changed:</t>
  </si>
  <si>
    <t>Co należy zmienić:</t>
  </si>
  <si>
    <t>需要更改的内容：</t>
  </si>
  <si>
    <t>変更する必要があるもの：</t>
  </si>
  <si>
    <t>변경해야 할 사항 :</t>
  </si>
  <si>
    <t>Ce qui doit être modifié :</t>
  </si>
  <si>
    <t>Qué necesita ser cambiado:</t>
  </si>
  <si>
    <t>Was muss geändert werden:</t>
  </si>
  <si>
    <t>What needs to be changed (other):</t>
  </si>
  <si>
    <t>Co należy zmienić (inne):</t>
  </si>
  <si>
    <t>需要更改的内容（其他：</t>
  </si>
  <si>
    <t>変更する必要があるもの（その他）：</t>
  </si>
  <si>
    <t>변경해야 할 사항 (기타) :</t>
  </si>
  <si>
    <t>Ce qui doit être changé (autre):</t>
  </si>
  <si>
    <t>Qué necesita cambiarse (otro):</t>
  </si>
  <si>
    <t>Was muss geändert werden (andere):</t>
  </si>
  <si>
    <t>SUPPLIER TYPE</t>
  </si>
  <si>
    <t>Supplier Type</t>
  </si>
  <si>
    <t>Rodzaj dostawcy</t>
  </si>
  <si>
    <t>供应商类型</t>
  </si>
  <si>
    <t>サプライヤータイプ</t>
  </si>
  <si>
    <t>벤더 타입</t>
  </si>
  <si>
    <t>Type de fournisseur</t>
  </si>
  <si>
    <t>Tipo de proveedor</t>
  </si>
  <si>
    <t>Lieferantentyp</t>
  </si>
  <si>
    <t>MATTHEW BENDER ROYALTY?</t>
  </si>
  <si>
    <t>Is this a Matthew Bender Royalty supplier?</t>
  </si>
  <si>
    <t>Czy to dostawca Matthew Bender Royalty?</t>
  </si>
  <si>
    <t>这是Matthew Bender版税供应商吗？</t>
  </si>
  <si>
    <t>これはマシューベンダーロイヤリティサプライヤーですか？</t>
  </si>
  <si>
    <t>이것은 Matthew Bender Royalty 공급 업체입니까?</t>
  </si>
  <si>
    <t>S'agit-il d'un fournisseur Matthew Bender Royalty?</t>
  </si>
  <si>
    <t>¿Es este un proveedor de Matthew Bender Royalty?</t>
  </si>
  <si>
    <t>Ist das ein Matthew Bender Royalty-Lieferant?</t>
  </si>
  <si>
    <t>FLAT FEE MICHIE</t>
  </si>
  <si>
    <t>Is this a Flat Fee or Michie author?</t>
  </si>
  <si>
    <t>IC LOCATION</t>
  </si>
  <si>
    <t>Independent Contractor/Freelancer Location</t>
  </si>
  <si>
    <t>Niezależny kontrahent / Freelancer Lokalizacja</t>
  </si>
  <si>
    <t>独立承包商/自由职业者所在地</t>
  </si>
  <si>
    <t>独立した請負業者/フリーランサーの所在地</t>
  </si>
  <si>
    <t>독립 계약자 / 프리랜서 위치</t>
  </si>
  <si>
    <t>Entrepreneur indépendant</t>
  </si>
  <si>
    <t>Ubicación del contratista independiente / freelance</t>
  </si>
  <si>
    <t>Unabhängiger Auftragnehmer / Freiberufler Standort</t>
  </si>
  <si>
    <t>Requester Name</t>
  </si>
  <si>
    <t>Nazwa wnioskodawcy</t>
  </si>
  <si>
    <t>申请人姓名</t>
  </si>
  <si>
    <t>LexisNexis 申請者氏名</t>
  </si>
  <si>
    <t>년,월,일 in LexisNexis</t>
  </si>
  <si>
    <t>Nom du demandeur</t>
  </si>
  <si>
    <t>Nombre solicitante</t>
  </si>
  <si>
    <t>Name des Anfragenden</t>
  </si>
  <si>
    <t>REQUESTER EMAIL</t>
  </si>
  <si>
    <t>Requester Email Address</t>
  </si>
  <si>
    <t>Adres e-mail wnioskodawcy</t>
  </si>
  <si>
    <t>申请人电子邮箱地址</t>
  </si>
  <si>
    <t>申請者メールアドレス</t>
  </si>
  <si>
    <t>요청자 이메일 주소</t>
  </si>
  <si>
    <t>Adresse e-mail du demandeur</t>
  </si>
  <si>
    <t>Dirección de correo electrónico del solicitante</t>
  </si>
  <si>
    <t>E-Mail-Adresse des Antragstellers</t>
  </si>
  <si>
    <t>BUSINESS DIVISON</t>
  </si>
  <si>
    <t>Business Division</t>
  </si>
  <si>
    <t>Dział biznesowy</t>
  </si>
  <si>
    <t>所属业务部门</t>
  </si>
  <si>
    <t>事業部</t>
  </si>
  <si>
    <t>사업부</t>
  </si>
  <si>
    <t>Département commercial</t>
  </si>
  <si>
    <t>División de negocios</t>
  </si>
  <si>
    <t>Geschäftsbereich</t>
  </si>
  <si>
    <t>BUSINESS REGION</t>
  </si>
  <si>
    <t>Business Region</t>
  </si>
  <si>
    <t>Region biznesowy</t>
  </si>
  <si>
    <t>所属业务大区域</t>
  </si>
  <si>
    <t>事業地域</t>
  </si>
  <si>
    <t>사업 지역</t>
  </si>
  <si>
    <t>Région commerciale</t>
  </si>
  <si>
    <t>Región de negocios</t>
  </si>
  <si>
    <t>Geschäftsregion</t>
  </si>
  <si>
    <t>PAY METHOD</t>
  </si>
  <si>
    <t>Pay Method</t>
  </si>
  <si>
    <t>Metoda płatności</t>
  </si>
  <si>
    <t>支払方法 / 付款类型</t>
  </si>
  <si>
    <t>支払方法</t>
  </si>
  <si>
    <t>지급방법</t>
  </si>
  <si>
    <t>Méthode de paiement</t>
  </si>
  <si>
    <t>Método de pago</t>
  </si>
  <si>
    <t>Zahlungsmethode</t>
  </si>
  <si>
    <t>PAY METHOD STATEMENT</t>
  </si>
  <si>
    <t>RELX standard payment method is Electronic. For any exceptions, email ap.globalvendormaintenance@lexisnexis.com for pre-approval.</t>
  </si>
  <si>
    <t>Standardową metodą płatności RELX jest elektroniczna. W przypadku jakichkolwiek wyjątków wyślij wiadomość e-mail na adres ap.globalvendormaintenance@lexisnexis.com w celu uzyskania wstępnej zgody.</t>
  </si>
  <si>
    <t>RELX标准付款方式为电子方式。 对于任何例外情况，请发送电子邮件至ap.globalvendormaintenance@lexisnexis.com进行预先批准。</t>
  </si>
  <si>
    <t>RELXの標準的な支払い方法はElectronicです。 例外がある場合は、事前承認のためにap.globalvendormaintenance@lexisnexis.comに電子メールを送信してください。</t>
  </si>
  <si>
    <t>RELX 표준 결제 방법은 전자입니다. 예외 사항이있는 경우 사전 승인을 위해 ap.globalvendormaintenance@lexisnexis.com으로 이메일을 보내주십시오.</t>
  </si>
  <si>
    <t>La méthode de paiement standard RELX est électronique. Pour toute exception, envoyez un e-mail à ap.globalvendormaintenance@lexisnexis.com pour une pré-approbation.</t>
  </si>
  <si>
    <t>El método de pago estándar de RELX es Electrónico. Para cualquier excepción, envíe un correo electrónico a ap.globalvendormaintenance@lexisnexis.com para una aprobación previa.</t>
  </si>
  <si>
    <t>Die Standardzahlungsmethode von RELX ist Electronic. Für Ausnahmen senden Sie eine E-Mail an ap.globalvendormaintenance@lexisnexis.com, um eine Vorabgenehmigung zu erhalten.</t>
  </si>
  <si>
    <t>CONTRACT QUESTION</t>
  </si>
  <si>
    <t>Is there a signed agreement in place stating the Supplier payment terms? (Not applicable for Authors)</t>
  </si>
  <si>
    <t>Czy istnieje podpisana umowa określająca warunki płatności Dostawcy? (Nie dotyczy autorów z)</t>
  </si>
  <si>
    <t>是否有已签署的协议说明供应商付款条款？ （不适用于美国作者）</t>
  </si>
  <si>
    <t>サプライヤーの支払い条件を記載した署名済みの契約がありますか？ （米国の著者には適用されません）</t>
  </si>
  <si>
    <t>공급자 지불 조건을 명시한 서명된 계약이 있습니까? (미국 작가에게는 해당되지 않음)</t>
  </si>
  <si>
    <t>Existe-t-il un accord signé indiquant les conditions de paiement du fournisseur ? (Non applicable aux auteurs)</t>
  </si>
  <si>
    <t>¿Existe un acuerdo firmado que establezca las condiciones de pago del proveedor? (No aplicable a autores.)</t>
  </si>
  <si>
    <t>Gibt es eine unterzeichnete Vereinbarung mit den Zahlungsbedingungen des Lieferanten? (Gilt nicht für Autoren)</t>
  </si>
  <si>
    <t>PAY TERMS</t>
  </si>
  <si>
    <t>Payment Terms</t>
  </si>
  <si>
    <t>Zasady płatności</t>
  </si>
  <si>
    <t>付款条件</t>
  </si>
  <si>
    <t>支払い条件</t>
  </si>
  <si>
    <t>지불 조건</t>
  </si>
  <si>
    <t>Modalités de paiement</t>
  </si>
  <si>
    <t>Términos de pago</t>
  </si>
  <si>
    <t>Zahlungsbedingungen</t>
  </si>
  <si>
    <t>PAY TERMS STATEMENT</t>
  </si>
  <si>
    <t>RELX standard payment terms are NET 45 Days.</t>
  </si>
  <si>
    <t>Standardowe warunki płatności RELX to 45 dni NETTO.</t>
  </si>
  <si>
    <t>RELX标准付款条件为NET 45天。</t>
  </si>
  <si>
    <t>RELXの標準支払い条件は正味45日です。</t>
  </si>
  <si>
    <t>RELX 표준 지불 조건은 NET 45 일입니다.</t>
  </si>
  <si>
    <t>Les conditions de paiement standard RELX sont de 45 jours NET.</t>
  </si>
  <si>
    <t>Los términos de pago estándar de RELX son NETOS 45 Días.</t>
  </si>
  <si>
    <t>Die Standard-Zahlungsbedingungen für RELX betragen NET 45 Tage.</t>
  </si>
  <si>
    <t>PAY TERMS SELECTION</t>
  </si>
  <si>
    <t>Indicate the agreed payment terms in writing. An APVM team member will be in touch to verify.</t>
  </si>
  <si>
    <t>Wskaż uzgodnione warunki płatności na piśmie. Członek zespołu APVM skontaktuje się z Tobą w celu weryfikacji.</t>
  </si>
  <si>
    <t>书面注明商定的付款条件。 APVM团队成员将与您联系以进行验证。</t>
  </si>
  <si>
    <t>合意された支払い条件を書面で示します。 APVMチームメンバーが確認のために連絡します。</t>
  </si>
  <si>
    <t>합의 된 지불 조건을 서면으로 표시하십시오. APVM 팀원이 확인을 위해 연락을 드릴 것입니다.</t>
  </si>
  <si>
    <t>Indiquez par écrit les conditions de paiement convenues. Un membre de l'équipe APVM sera en contact pour vérifier.</t>
  </si>
  <si>
    <t>Indique por escrito las condiciones de pago pactadas. Un miembro del equipo de APVM se pondrá en contacto para verificarlo.</t>
  </si>
  <si>
    <t>Geben Sie die vereinbarten Zahlungsbedingungen schriftlich an. Ein APVM-Teammitglied wird sich zur Überprüfung mit Ihnen in Verbindung setzen.</t>
  </si>
  <si>
    <t>REASON FOR SET UP</t>
  </si>
  <si>
    <t>Reason for new supplier setup</t>
  </si>
  <si>
    <t>Powód konfiguracji nowego dostawcy</t>
  </si>
  <si>
    <t>设置新供应商的原因</t>
  </si>
  <si>
    <t>新規サプライヤー設定の理由</t>
  </si>
  <si>
    <t>새로운 공급 업체 설정 사유</t>
  </si>
  <si>
    <t>Raison du référencement d'un nouveau fournisseur</t>
  </si>
  <si>
    <t>Motivo de la configuración del nuevo proveedor</t>
  </si>
  <si>
    <t>Grund für die Einrichtung eines neuen Lieferanten</t>
  </si>
  <si>
    <t>CONTRACT</t>
  </si>
  <si>
    <t>Is a Procurement contract in place? (Not applicable to US Authors)</t>
  </si>
  <si>
    <t>Czy obowiązuje umowa o zaopatrzenie? (Nie dotyczy autorów z USA)</t>
  </si>
  <si>
    <t>采购合同是否到位？ （不适用于美国作者）</t>
  </si>
  <si>
    <t>調達契約は結ばれていますか？ （米国の著者には適用されません）</t>
  </si>
  <si>
    <t>조달 계약이 체결되어 있습니까? (미국 작가에게는 해당되지 않음)</t>
  </si>
  <si>
    <t>Un contrat d'approvisionnement est-il en place ? (Non applicable aux auteurs américains)</t>
  </si>
  <si>
    <t>¿Existe un contrato de adquisición? (No aplicable a autores de EE. UU.)</t>
  </si>
  <si>
    <t>Liegt ein Beschaffungsvertrag vor? (Gilt nicht für US-Autoren)</t>
  </si>
  <si>
    <t>PROCUREMENT CONTRACT EMAIL STATEMENT</t>
  </si>
  <si>
    <t>If a Procurement contract is in place, please ensure that a copy is submitted to contracts@relx.com.</t>
  </si>
  <si>
    <t>Jeśli umowa zakupowa została zawarta, prosimy upewnić się, że jej kopia została przesłana na adres contracts@relx.com.</t>
  </si>
  <si>
    <t>如果有采购合同，请确保将副本提交给contracts@relx.com。</t>
  </si>
  <si>
    <t>調達契約が締結されている場合は、コピーがcontracts@relx.comに送信されていることを確認してください。</t>
  </si>
  <si>
    <t>조달 계약이 체결 된 경우 contracts@relx.com으로 사본을 제출하십시오.</t>
  </si>
  <si>
    <t>Si un contrat d'approvisionnement est en place, veuillez vous assurer qu'une copie est envoyée à contracts@relx.com</t>
  </si>
  <si>
    <t>Si existe un contrato de adquisición, asegúrese de enviar una copia a Contracts@relx.com.</t>
  </si>
  <si>
    <t>Wenn ein Beschaffungsvertrag besteht, stellen Sie bitte sicher, dass eine Kopie an contracts@relx.com gesendet wird.</t>
  </si>
  <si>
    <t>PURCHASE ORDER</t>
  </si>
  <si>
    <t>Is a purchase order required (have you worked with Procurement)?</t>
  </si>
  <si>
    <t>Czy wymagane jest zamówienie (czy współpracowałeś z działem zakupów)?</t>
  </si>
  <si>
    <t>是否需要采购订单（您是否曾从事过采购工作）？</t>
  </si>
  <si>
    <t>発注書が必要ですか？（Procurement を通じて発注しましたか？）</t>
  </si>
  <si>
    <t>구매 오더가 필요합니까 (조달에 대해 작업 했습니까)?</t>
  </si>
  <si>
    <t>Un bon de commande est-il requis (avez-vous travaillé avec le service des achats)?</t>
  </si>
  <si>
    <t>¿Se requiere una orden de compra (ha trabajado con Adquisiciones)?</t>
  </si>
  <si>
    <t>Ist eine Bestellung erforderlich (haben Sie mit der Beschaffung gearbeitet)?</t>
  </si>
  <si>
    <t>INVOICE APPROVER</t>
  </si>
  <si>
    <t>PeopleSoft workflow coder/approver (if required):</t>
  </si>
  <si>
    <t>Koder / osoba zatwierdzająca przepływ pracy PeopleSoft (jeśli wymagana):</t>
  </si>
  <si>
    <t>PeopleSoft工作流编码器/批准者（如果需要）：</t>
  </si>
  <si>
    <t>PeopleSoftワークフローコーダー/承認者（必要な場合）：</t>
  </si>
  <si>
    <t>PeopleSoft 워크 플로우 코더 / 승인자 (필요한 경우) :</t>
  </si>
  <si>
    <t>Codeur / approbateur de workflow PeopleSoft (si nécessaire):</t>
  </si>
  <si>
    <t>Codificador / aprobador de flujo de trabajo de PeopleSoft (si es necesario):</t>
  </si>
  <si>
    <t>PeopleSoft-Workflow-Codierer / Genehmiger (falls erforderlich):</t>
  </si>
  <si>
    <t>CONFLICT OF INTEREST</t>
  </si>
  <si>
    <t>To the best of your knowledge, do you, any member of your family, any RELX employee, or any family member of a RELX employee have or have you or they ever had a financial interest (e.g. work for, consult with, have a financial obligation, or ownership or investment interest) in the supplier?</t>
  </si>
  <si>
    <t>Zgodnie z Twoją najlepszą wiedzą, czy Ty, którykolwiek członek Twojej rodziny, pracownik RELX, czy członek rodziny pracownika RELX ma Cię, czy kiedykolwiek miałeś interes finansowy (np. Pracujesz dla, konsultujesz się, masz finansową obowiązek, własność lub udział inwestycyjny) u dostawcy?</t>
  </si>
  <si>
    <t>据您所知，您，您的家庭任何成员，任何RELX雇员或RELX雇员的任何家庭成员是否有您或曾经与您有财务往来（例如，工作，咨询， 供应商的义务，所有权或投资权益）？</t>
  </si>
  <si>
    <t>あなたの最善知る限り、あなた自身や、あなたの家族、RELX職員、RELX職員の家族が、このサプライヤーと金銭的利害関係（例：勤務している、コンサルティングをしている、金銭的義務を負っている、株式を所有、または投資しているなど）にあったことはありますか？</t>
  </si>
  <si>
    <t>귀하, 귀하의 가족 구성원, RELX 직원 또는 RELX 직원의 가족 구성원이 재정적 이해 관계가있는 경우 (예 : 업무, 상담, 재정 지원 공급자에 대한 의무 또는 소유권 또는 투자 이익)</t>
  </si>
  <si>
    <t>A votre connaissance, est-ce que vous, un membre de votre famille, un employé de RELX ou un membre de la famille d'un employé de RELX, avez ou avez déjà eu un intérêt financier avec le fournisseur (Ex : avoir travaillé avec, s'être concerté avec, être endetté envers, avoir investi ou détenir des titres) ?</t>
  </si>
  <si>
    <t>A su leal saber y entender, ¿usted, algún miembro de su familia, cualquier empleado de RELX o cualquier miembro de la familia de un empleado de RELX tiene o tiene usted o alguna vez ha tenido un interés financiero (por ejemplo, trabajar para, consultar, tener un obligación, o propiedad o interés de inversión) en el proveedor?</t>
  </si>
  <si>
    <t>Haben oder haben Sie, ein Mitglied Ihrer Familie, ein RELX-Mitarbeiter oder ein Familienmitglied eines RELX-Mitarbeiters nach bestem Wissen und Gewissen ein finanzielles Interesse (z. B. arbeiten, sich beraten, ein finanzielles Interesse haben)? Verpflichtung oder Eigentum oder Investitionsinteresse) am Lieferanten?</t>
  </si>
  <si>
    <t>EXPLAIN</t>
  </si>
  <si>
    <t>Please explain</t>
  </si>
  <si>
    <t>Proszę wytłumacz</t>
  </si>
  <si>
    <t>请解释</t>
  </si>
  <si>
    <t>説明してください</t>
  </si>
  <si>
    <t>설명 해주십시오</t>
  </si>
  <si>
    <t>Merci de bien vouloir justifier</t>
  </si>
  <si>
    <t>Por favor explique</t>
  </si>
  <si>
    <t>Bitte erkläre</t>
  </si>
  <si>
    <t>SUBMISSION STATEMENT</t>
  </si>
  <si>
    <t>By submitting this form, I certify that, to the best of my knowledge, the information contained in this form is accurate and I understand that any misrepresentations on this form could subject me to disciplinary action, up to and including termination of my employment.  I further agree to promptly notify Global Accounts Payable if I become aware of any additional information that would make the information in this form inaccurate so that the information on this form can be updated.</t>
  </si>
  <si>
    <t>Przesyłając ten formularz, oświadczam, że zgodnie z moją najlepszą wiedzą informacje zawarte w tym formularzu są dokładne i rozumiem, że wszelkie wprowadzanie w błąd w tym formularzu może narazić mnie na działania dyscyplinarne, łącznie z rozwiązaniem stosunku pracy. Wyrażam również zgodę na niezwłoczne powiadomienie Global Accounts Payable, jeśli dowiem się o wszelkich dodatkowych informacjach, które mogłyby spowodować, że informacje w tym formularzu będą niedokładne, aby informacje w tym formularzu mogły zostać zaktualizowane.</t>
  </si>
  <si>
    <t>通过提交此表格，我证明，据我所知，此表格中包含的信息是准确的，并且我了解此表格中的任何虚假陈述都可能导致我受到纪律处分，直至并包括终止我的工作。 我进一步同意，如果我知道任何其他信息会使该表格中的信息不准确，则应立即通知全球应付帐款，以便可以更新此表格上的信息。</t>
  </si>
  <si>
    <t>私はこのフォームを提出することにより、私の最善知る限り、このフォームに含まれる情報が正確であることを証明します。また、このフォームの不正確な説明は、雇用が終了するまで、懲戒処分の対象となる可能性があることを理解します。 さらに、本フォームの情報が不正確になるような追加情報に気づいた場合は、速やかにGlobal Accounts Payableに通知し、本フォームの情報を更新できるようにすることに同意します。</t>
  </si>
  <si>
    <t>이 양식을 제출함으로써 본인은 본인이 아는 한 이 양식에 포함 된 정보가 정확하며 이 양식에 대한 허위 진술로 인해 고용이 종료 될 때까지 징계 조치를받을 수 있음을 이해합니다. 또한 이 양식의 정보를 업데이트 할 수 있도록 중요한 정보를 알게되면 Global Accounts Payable에 즉시 통보 할 것에 동의합니다.</t>
  </si>
  <si>
    <t>En soumettant ce formulaire, je certifie que, à ma connaissance, les informations contenues dans ce formulaire sont exactes et je comprends que toute fausse déclaration sur ce formulaire pourrait m'exposer à des mesures disciplinaires, pouvant aller jusqu'à la cessation de mon emploi. J'accepte en outre d'aviser rapidement le département comptabilité fournisseur si je découvre des informations supplémentaires qui rendraient inexactes les informations de ce formulaire afin que ces dernières puissent être mises à jour.</t>
  </si>
  <si>
    <t>Al enviar este formulario, certifico que, a mi leal saber y entender, la información contenida en este formulario es precisa y entiendo que cualquier tergiversación en este formulario podría someterme a medidas disciplinarias, que pueden incluir la terminación de mi empleo. Además, acepto notificar de inmediato a Cuentas por pagar globales si tengo conocimiento de cualquier información adicional que pueda hacer que la información en este formulario sea inexacta para que la información en este formulario pueda actualizarse.</t>
  </si>
  <si>
    <t>Durch das Absenden dieses Formulars bestätige ich, dass die in diesem Formular enthaltenen Informationen nach bestem Wissen und Gewissen korrekt sind, und ich verstehe, dass falsche Angaben auf diesem Formular Disziplinarmaßnahmen bis hin zur Beendigung meines Arbeitsverhältnisses zur Folge haben können. Ich bin ferner damit einverstanden, Global Accounts Payable unverzüglich zu benachrichtigen, wenn mir zusätzliche Informationen bekannt werden, die die Informationen in diesem Formular ungenau machen würden, damit die Informationen in diesem Formular aktualisiert werden können.</t>
  </si>
  <si>
    <t>P2P SECTION</t>
  </si>
  <si>
    <t>P2P (INTERNAL) USE ONLY</t>
  </si>
  <si>
    <t>WYŁĄCZNIE DO UŻYTKU P2P (WEWNĘTRZNEGO)</t>
  </si>
  <si>
    <t>仅限P2P（内部）使用</t>
  </si>
  <si>
    <t>P2P (社内）利用のみ</t>
  </si>
  <si>
    <t>P2P (내부) 만 사용</t>
  </si>
  <si>
    <t>UTILISATION P2P (INTERNE) UNIQUEMENT</t>
  </si>
  <si>
    <t>P2P (INTERNO) SOLO PARA USO</t>
  </si>
  <si>
    <t>NUR P2P (INTERN) VERWENDEN</t>
  </si>
  <si>
    <t>SUPPLIER SECTION</t>
  </si>
  <si>
    <t xml:space="preserve">SUPPLIER INFORMATION (to be completed by the Supplier) </t>
  </si>
  <si>
    <t>INFORMACJE DOSTAWCY (do wypełnienia przez Dostawcę)</t>
  </si>
  <si>
    <t>受益情報 / 收款人信息</t>
  </si>
  <si>
    <t>サプライヤー情報（サプライヤーが記入）</t>
  </si>
  <si>
    <t>공급 업체 정보 (공급 업체가 작성)</t>
  </si>
  <si>
    <t>INFORMATIONS DU FOURNISSEUR (à remplir par le fournisseur)</t>
  </si>
  <si>
    <t>INFORMACIÓN DEL PROVEEDOR (a completar por el Proveedor)</t>
  </si>
  <si>
    <t>LIEFERANTENINFORMATIONEN (vom Lieferanten auszufüllen)</t>
  </si>
  <si>
    <t>PRODUCT PROVIDED</t>
  </si>
  <si>
    <t>What type of product is being provided?</t>
  </si>
  <si>
    <t>Jaki rodzaj produktu jest oferowany?</t>
  </si>
  <si>
    <t>提供什么类型的产品？</t>
  </si>
  <si>
    <t>どのような種類の商品が提供されますか？</t>
  </si>
  <si>
    <t>어떤 유형의 제품이 제공됩니까?</t>
  </si>
  <si>
    <t>Quel est le type de prestation?</t>
  </si>
  <si>
    <t>¿Qué tipo de producto se proporciona?</t>
  </si>
  <si>
    <t>Welche Art von Produkt wird angeboten?</t>
  </si>
  <si>
    <t>GOODS SERVICES %</t>
  </si>
  <si>
    <t>What percentage of work is goods and what percentage is services?</t>
  </si>
  <si>
    <t>Jaki procent pracy stanowią dobra, a jaki usługi?</t>
  </si>
  <si>
    <t>业务中，产品和服务的占比分别为多少？</t>
  </si>
  <si>
    <t>提供商品のうち、製品提供、サービス提供はそれぞれ何パーセントですか？</t>
  </si>
  <si>
    <t>재화는 몇 퍼센트입니까, 서비스는 몇 퍼센트입니까?</t>
  </si>
  <si>
    <t>Quel pourcentage concerne la vente des biens et quel pourcentage concerne des services?</t>
  </si>
  <si>
    <t>¿Qué porcentaje de trabajo son bienes y qué porcentaje son servicios?</t>
  </si>
  <si>
    <t>Wie viel Prozent der Arbeit sind Waren und wie viel Prozent sind Dienstleistungen?</t>
  </si>
  <si>
    <t>SERVICE LOCATION</t>
  </si>
  <si>
    <t>Where will services be performed?</t>
  </si>
  <si>
    <t>Gdzie będą wykonywane usługi?</t>
  </si>
  <si>
    <t>服务将在哪里执行？</t>
  </si>
  <si>
    <t>商品はどこで提供されますか？</t>
  </si>
  <si>
    <t>서비스는 어디에서 수행됩니까?</t>
  </si>
  <si>
    <t>Où les services seront-ils rendus?</t>
  </si>
  <si>
    <t>¿Dónde se realizarán los servicios?</t>
  </si>
  <si>
    <t>Wo werden Dienstleistungen erbracht?</t>
  </si>
  <si>
    <t>% WORK DONE IN US</t>
  </si>
  <si>
    <t>What percentage of the work is performed within the United States?</t>
  </si>
  <si>
    <t>Jaki procent pracy wykonuje się w Stanach Zjednoczonych?</t>
  </si>
  <si>
    <t>有多少比重的业务是在美国进行的？</t>
  </si>
  <si>
    <t>アメリカ国内での商品提供は何パーセントですか？</t>
  </si>
  <si>
    <t>미국 내에서 몇 퍼센트의 작업이 수행됩니까?</t>
  </si>
  <si>
    <t>Quel pourcentage du travail est effectué aux États-Unis?</t>
  </si>
  <si>
    <t>¿Qué porcentaje del trabajo se realiza dentro de los Estados Unidos?</t>
  </si>
  <si>
    <t>Wie viel Prozent der Arbeiten werden in den USA ausgeführt?</t>
  </si>
  <si>
    <t>SERVICETYPE</t>
  </si>
  <si>
    <t>What type of service will be performed?</t>
  </si>
  <si>
    <t>Jaki rodzaj usługi będzie wykonywany?</t>
  </si>
  <si>
    <t>将执行哪种类型的服务？</t>
  </si>
  <si>
    <t>どのような種類のサービスが提供されますか？</t>
  </si>
  <si>
    <t>어떤 유형의 서비스가 수행됩니까?</t>
  </si>
  <si>
    <t>Quel type de service sera effectué?</t>
  </si>
  <si>
    <t>¿Qué tipo de servicio se realizará?</t>
  </si>
  <si>
    <t>Welche Art von Service wird durchgeführt?</t>
  </si>
  <si>
    <t>PAYABLE</t>
  </si>
  <si>
    <t>Supplier/Trading/Individual Name</t>
  </si>
  <si>
    <t>Dostawca/handel/nazwa indywidualna</t>
  </si>
  <si>
    <t>供应商/贸易/个人名称</t>
  </si>
  <si>
    <t>サプライヤー/取引/個人名</t>
  </si>
  <si>
    <t>공급업체/거래/개인 이름</t>
  </si>
  <si>
    <t>Nom du fournisseur/commercial/individu</t>
  </si>
  <si>
    <t>Proveedor / Negociación / Nombre individual</t>
  </si>
  <si>
    <t>Lieferant/Handel/Einzelname</t>
  </si>
  <si>
    <t>COUNTRY</t>
  </si>
  <si>
    <t>Postal Country</t>
  </si>
  <si>
    <t>Kraj (wybierz kraj)</t>
  </si>
  <si>
    <t>邮政国家</t>
  </si>
  <si>
    <t>国</t>
  </si>
  <si>
    <t>우편 국가</t>
  </si>
  <si>
    <t>Pays (choisir un pays)</t>
  </si>
  <si>
    <t>País</t>
  </si>
  <si>
    <t>Land</t>
  </si>
  <si>
    <t>TAX COUNTRY</t>
  </si>
  <si>
    <t>Country of Tax Residence</t>
  </si>
  <si>
    <t>Kraj rezydencji podatkowej (wybierz kraj)</t>
  </si>
  <si>
    <t>纳税所属国</t>
  </si>
  <si>
    <t>税法上の居住国</t>
  </si>
  <si>
    <t>세금 거주 국가</t>
  </si>
  <si>
    <t>Pays du domicile fiscal (choisir un pays)</t>
  </si>
  <si>
    <t>País de residencia fiscal</t>
  </si>
  <si>
    <t>Land der Steueransässigkeit</t>
  </si>
  <si>
    <t>ADDRESS 1</t>
  </si>
  <si>
    <t>Address Line 1</t>
  </si>
  <si>
    <t>Adres – wiersz 1</t>
  </si>
  <si>
    <t>住所 / 地址（含邮编）</t>
  </si>
  <si>
    <t xml:space="preserve">部署名等 </t>
  </si>
  <si>
    <t>(Building name if applicable) 주소</t>
  </si>
  <si>
    <t>Adresse - ligne 1</t>
  </si>
  <si>
    <t>Dirección Línea 1</t>
  </si>
  <si>
    <t>Privatadresse</t>
  </si>
  <si>
    <t>ADDRESS 2</t>
  </si>
  <si>
    <t>Address Line 2</t>
  </si>
  <si>
    <t>Adres – wiersz 2</t>
  </si>
  <si>
    <t>供应商公司所在地址</t>
  </si>
  <si>
    <t xml:space="preserve">企業名等 </t>
  </si>
  <si>
    <t>(Number and road) 주소 (번호 및 도로)</t>
  </si>
  <si>
    <t>Adresse - ligne 2</t>
  </si>
  <si>
    <t>Dirección Línea 2</t>
  </si>
  <si>
    <t>Adresszeile 2</t>
  </si>
  <si>
    <t>ADDRESS 3</t>
  </si>
  <si>
    <t>Address Line 3</t>
  </si>
  <si>
    <t>Adres – wiersz 3</t>
  </si>
  <si>
    <t>供应商公司所在商务写字楼名称（如有）</t>
  </si>
  <si>
    <t xml:space="preserve">ビル、マンション名等  </t>
  </si>
  <si>
    <t>(Company name if applicable) 주소</t>
  </si>
  <si>
    <t>Adresse - ligne 3</t>
  </si>
  <si>
    <t>Dirección Línea 3</t>
  </si>
  <si>
    <t>Adresszeile 3</t>
  </si>
  <si>
    <t>ADDRESS 4</t>
  </si>
  <si>
    <t>Address Line 4</t>
  </si>
  <si>
    <t>Adres – wiersz 4</t>
  </si>
  <si>
    <t>供应商公司所在区/街</t>
  </si>
  <si>
    <t>番地等</t>
  </si>
  <si>
    <t>(Department name if applicable) 주소</t>
  </si>
  <si>
    <t>Adresse - ligne 4</t>
  </si>
  <si>
    <t>Dirección Línea 4</t>
  </si>
  <si>
    <t>Adresszeile 4</t>
  </si>
  <si>
    <t>CITY</t>
  </si>
  <si>
    <t>City</t>
  </si>
  <si>
    <t>Miejscowość</t>
  </si>
  <si>
    <t>供应商公司所在城市</t>
  </si>
  <si>
    <t>市区町村</t>
  </si>
  <si>
    <t>시</t>
  </si>
  <si>
    <t>Ville</t>
  </si>
  <si>
    <t>Ciudad</t>
  </si>
  <si>
    <t>Stadt</t>
  </si>
  <si>
    <t>POSTAL CODE</t>
  </si>
  <si>
    <t>Postal/Zip Code</t>
  </si>
  <si>
    <t>Kod pocztowy</t>
  </si>
  <si>
    <t>供应商所在地邮政编号</t>
  </si>
  <si>
    <t>郵便番号</t>
  </si>
  <si>
    <t>우편번호</t>
  </si>
  <si>
    <t>Code postal</t>
  </si>
  <si>
    <t>Código postal</t>
  </si>
  <si>
    <t>Postleitzahl</t>
  </si>
  <si>
    <t>OTHER CONTACT NAME</t>
  </si>
  <si>
    <t xml:space="preserve">Contact Name (change if different from payable/remit to) </t>
  </si>
  <si>
    <t>Imię i nazwisko osoby do kontaktu (jeśli inne od powyższego)</t>
  </si>
  <si>
    <t>担当者 / 联络人</t>
  </si>
  <si>
    <t>担当者氏名</t>
  </si>
  <si>
    <t>담당자</t>
  </si>
  <si>
    <t>Nom du contact (si différent du bénéficiaire du paiement)</t>
  </si>
  <si>
    <t>Nombre de contacto (si es diferente al anterior)</t>
  </si>
  <si>
    <t>Name der Kontaktperson (wenn abweichend von oben)</t>
  </si>
  <si>
    <t>PO STATEMENT</t>
  </si>
  <si>
    <t>Address for Purchase Orders (if different than Remit/Payee address):</t>
  </si>
  <si>
    <t>Adres dla zamówień zakupu (jeśli inny niż adres przekazu / odbiorcy)</t>
  </si>
  <si>
    <t>采购订单地址（如果与汇款/收款人地址不同）</t>
  </si>
  <si>
    <t>注文書用住所　（送金/被支払人の住所と異なる場合）</t>
  </si>
  <si>
    <t>구매 주문 주소 (송금 / 수취인 주소와 다른 경우)</t>
  </si>
  <si>
    <t>Adresse pour les bons de commande (si différente de l'adresse du bénéficiaire du paiement)</t>
  </si>
  <si>
    <t>Dirección para órdenes de compra (si es diferente a la dirección de envío / beneficiario)</t>
  </si>
  <si>
    <t>Adresse für Bestellungen (falls abweichend von Überweisungs- / Zahlungsempfängeradresse)</t>
  </si>
  <si>
    <t>PO EMAIL ADDRESS</t>
  </si>
  <si>
    <t>Supplier/Payee Email Address for Purchase Orders</t>
  </si>
  <si>
    <t>Adres e-mail dostawcy / odbiorcy dla zamówień zakupu</t>
  </si>
  <si>
    <t>接收采购订单的供应商/收款人电子邮箱地址</t>
  </si>
  <si>
    <t>注文書用サプライヤー/被支払人メールアドレス</t>
  </si>
  <si>
    <t>구매 주문을위한 공급 업체 / 이메일 주소</t>
  </si>
  <si>
    <t>Adresse Email du fournisseur pour les bons de commande</t>
  </si>
  <si>
    <t>Dirección de correo electrónico del proveedor / beneficiario para órdenes de compra</t>
  </si>
  <si>
    <t>Lieferant/Zahlungsempfänger E-Mail-Adresse für Bestellungen</t>
  </si>
  <si>
    <t>PAYMENT EMAIL ADDRESS</t>
  </si>
  <si>
    <t>Supplier/Payee Email Address for Payment Remittance</t>
  </si>
  <si>
    <t>Adres e-mail dostawcy / odbiorcy płatności</t>
  </si>
  <si>
    <t>供应商/收款人的电子邮件地址</t>
  </si>
  <si>
    <t xml:space="preserve"> 被仕向送金用サプライヤー/被支払人メールアドレス</t>
  </si>
  <si>
    <t>이메일주소</t>
  </si>
  <si>
    <t>Adresse Email du fournisseur pour les avis de paiement</t>
  </si>
  <si>
    <t>Dirección de correo electrónico del proveedor / beneficiario para el envío de pagos</t>
  </si>
  <si>
    <t>Lieferant/Zahlungsempfänger E-Mail-Adresse für die Überweisung</t>
  </si>
  <si>
    <t>ALT EMAIL</t>
  </si>
  <si>
    <t xml:space="preserve">Additional Contact Email (if applicable) </t>
  </si>
  <si>
    <t>Dodatkowy kontaktowy adres e-mail (jeśli dotyczy)</t>
  </si>
  <si>
    <t>其他联系电子邮件（如果有）</t>
  </si>
  <si>
    <t>追加連絡先メールアドレス（該当する場合）</t>
  </si>
  <si>
    <t>추가 연락처 이메일 (해당되는 경우)</t>
  </si>
  <si>
    <t>Adresse Email complémentaire (si applicable)</t>
  </si>
  <si>
    <t>Correo electrónico de contacto adicional (si corresponde)</t>
  </si>
  <si>
    <t>Zusätzliche Kontakt-E-Mail (falls zutreffend)</t>
  </si>
  <si>
    <t>PHONE</t>
  </si>
  <si>
    <t>Supplier/Payee Phone Number</t>
  </si>
  <si>
    <t>Numer telefonu dostawcy/odbiorcy płatności</t>
  </si>
  <si>
    <t>電話番号/ 电话号码</t>
  </si>
  <si>
    <t>サプライヤー/被支払人電話番号</t>
  </si>
  <si>
    <t>전화번호</t>
  </si>
  <si>
    <t>Numéro de téléphone du fournisseur/bénéficiaire</t>
  </si>
  <si>
    <t>Número de teléfono del proveedor / beneficiario</t>
  </si>
  <si>
    <t>Lieferant/Zahlungsempfänger Telefonnummer</t>
  </si>
  <si>
    <t>FAX NUMBER</t>
  </si>
  <si>
    <t>Fax Number</t>
  </si>
  <si>
    <t>Numer faksu</t>
  </si>
  <si>
    <t>传真号码</t>
  </si>
  <si>
    <t>FAX番号</t>
  </si>
  <si>
    <t>팩스 번호</t>
  </si>
  <si>
    <t>Numéro de fax</t>
  </si>
  <si>
    <t>Número de fax</t>
  </si>
  <si>
    <t>Faxnummer</t>
  </si>
  <si>
    <t>STOP IF ADDRESS CHANGE</t>
  </si>
  <si>
    <t>If address change only, skip to row 166.</t>
  </si>
  <si>
    <t>Jeśli zmienia się tylko adres, przejdź do wiersza 166.</t>
  </si>
  <si>
    <t>如果仅更改地址，请跳至第166行。</t>
  </si>
  <si>
    <t>アドレス変更のみの場合は、行166にスキップします。</t>
  </si>
  <si>
    <t>주소 만 변경된 경우 166 행으로 건너 뜁니다.</t>
  </si>
  <si>
    <t>Si l'adresse change uniquement, passez à la ligne 166.</t>
  </si>
  <si>
    <t>Si solo cambia la dirección, pase a la fila 166.</t>
  </si>
  <si>
    <t>Wenn sich nur die Adresse ändert, fahren Sie mit Zeile 166 fort.</t>
  </si>
  <si>
    <t>ITIN</t>
  </si>
  <si>
    <t xml:space="preserve">Individual Tax Identification # (ITIN) </t>
  </si>
  <si>
    <t>Indywidualny numer identyfikacji podatkowej (ITIN)</t>
  </si>
  <si>
    <t>个人税号（ITIN）</t>
  </si>
  <si>
    <t>個人用納税者番号（ITIN）</t>
  </si>
  <si>
    <t>개인 세금 식별 번호 (ITIN)</t>
  </si>
  <si>
    <t>Numéro d'identification fiscale individuelle (ITIN)</t>
  </si>
  <si>
    <t>Número de identificación fiscal individual (ITIN)</t>
  </si>
  <si>
    <t>Individuelle Steueridentifikationsnummer (ITIN)</t>
  </si>
  <si>
    <t>FTIN</t>
  </si>
  <si>
    <t>Foreign Tax #</t>
  </si>
  <si>
    <t>Podatek zagraniczny #</t>
  </si>
  <si>
    <t>外国税号</t>
  </si>
  <si>
    <t>外国人納税者番号</t>
  </si>
  <si>
    <t>외국 세금</t>
  </si>
  <si>
    <t>Impôt étranger #</t>
  </si>
  <si>
    <t>Impuesto extranjero #</t>
  </si>
  <si>
    <t>Ausländische Steuernummer</t>
  </si>
  <si>
    <t>MUNICH VAT CODE %</t>
  </si>
  <si>
    <t xml:space="preserve">VAT Code (%) </t>
  </si>
  <si>
    <t>Mehrwertsteuersatz (%)</t>
  </si>
  <si>
    <t>MUNICH TAX ID</t>
  </si>
  <si>
    <t>VAT # / German Tax ID</t>
  </si>
  <si>
    <t>Umsatzsteuer-Identifikationsnummer (USt-IdNr.)</t>
  </si>
  <si>
    <t>MUNICH FCM</t>
  </si>
  <si>
    <t>Foreign Club Membership</t>
  </si>
  <si>
    <t>VG-Wort Mitgliedschaft</t>
  </si>
  <si>
    <t>FRANCE TYPE OF SVC</t>
  </si>
  <si>
    <t>Type of Service Provided</t>
  </si>
  <si>
    <t>Type d'activité</t>
  </si>
  <si>
    <t>FRANCE AGESA MDA</t>
  </si>
  <si>
    <t>Do you have an AGESSA or MDA Exemption?</t>
  </si>
  <si>
    <t>Bénéficiez-vous d'une exemption AGESSA ou MDA ?</t>
  </si>
  <si>
    <t>FRANCE MDA</t>
  </si>
  <si>
    <t>MDA Registration Number</t>
  </si>
  <si>
    <t>Numéro d'inscription à la MDA</t>
  </si>
  <si>
    <t>FRANCE SIRET/SSN</t>
  </si>
  <si>
    <t>SIRET/Social Security Number</t>
  </si>
  <si>
    <t>SIRET / numéro de sécurité sociale</t>
  </si>
  <si>
    <t>SPAIN VAT REG</t>
  </si>
  <si>
    <t>If an individual, are you registered for VAT?</t>
  </si>
  <si>
    <t>Si es un individuo, ¿está registrado para el IVA?</t>
  </si>
  <si>
    <t>SPAIN CIF DNI NIE</t>
  </si>
  <si>
    <t xml:space="preserve">CIF/DNI/NIE Number (Tax ID) </t>
  </si>
  <si>
    <t>Número CIF / DNI / NIE (identificación fiscal)</t>
  </si>
  <si>
    <t>SPAIN START DATE</t>
  </si>
  <si>
    <t>Start date of professional activity</t>
  </si>
  <si>
    <t>Fecha de inicio de la actividad profesional</t>
  </si>
  <si>
    <t>SPAIN W/H EXEMPTION</t>
  </si>
  <si>
    <t>Do you have a withholding tax exemption certificate?</t>
  </si>
  <si>
    <t>¿Tiene un certificado de exención de impuestos de retención?</t>
  </si>
  <si>
    <t>SPAN TAX CERT</t>
  </si>
  <si>
    <t>Are you able to provide the Tax Residence Certificate?</t>
  </si>
  <si>
    <t>¿Eres capaz de proporcionar el Certificado de Residencia Fiscal?</t>
  </si>
  <si>
    <t>LAST 4 BANK ACCNT</t>
  </si>
  <si>
    <t xml:space="preserve">Last 4 digits of prior bank account (for security purposes) </t>
  </si>
  <si>
    <t>Ostatnie 4 cyfry poprzedniego rachunku bankowego</t>
  </si>
  <si>
    <t>首选银行帐户的后4位数字（出于安全目的）</t>
  </si>
  <si>
    <t>変更前の銀行口座番号下4桁　（セキュリティ強化のため）</t>
  </si>
  <si>
    <t>이전 은행 계좌의 마지막 4 자리 (보안 목적으로)</t>
  </si>
  <si>
    <t>4 derniers chiffres du compte bancaire précédent (Pour des raisons de sécurité)</t>
  </si>
  <si>
    <t>Últimos 4 dígitos de la cuenta bancaria anterior (requerida por razones de seguridad)</t>
  </si>
  <si>
    <t>Die letzten 4 Ziffern des vorherigen Bankkontos (aus Sicherheitsgründen erforderlich)</t>
  </si>
  <si>
    <t>CURRENCY</t>
  </si>
  <si>
    <t>Invoice Currency</t>
  </si>
  <si>
    <t>Waluta faktury</t>
  </si>
  <si>
    <t>发票货币</t>
  </si>
  <si>
    <t>請求通貨</t>
  </si>
  <si>
    <t>송장 통화</t>
  </si>
  <si>
    <t>Devise de la facture</t>
  </si>
  <si>
    <t>Moneda de la factura</t>
  </si>
  <si>
    <t>Rechnungswährung</t>
  </si>
  <si>
    <t>CURRENCY OTHER</t>
  </si>
  <si>
    <t>Other</t>
  </si>
  <si>
    <t>Inny</t>
  </si>
  <si>
    <t>其他</t>
  </si>
  <si>
    <t>その他</t>
  </si>
  <si>
    <t>다른</t>
  </si>
  <si>
    <t>Autre</t>
  </si>
  <si>
    <t>Otro</t>
  </si>
  <si>
    <t>Niemiecki</t>
  </si>
  <si>
    <t>TAX FORM</t>
  </si>
  <si>
    <t>Tax Form Requirements</t>
  </si>
  <si>
    <t>Wymagania formularza podatkowego</t>
  </si>
  <si>
    <t>税表要求</t>
  </si>
  <si>
    <t>納税様式要件</t>
  </si>
  <si>
    <t>세금 양식 요구 사항</t>
  </si>
  <si>
    <t>Exigences relatives aux formulaires fiscaux</t>
  </si>
  <si>
    <t>Requisitos de formulario de impuestos</t>
  </si>
  <si>
    <t>Steuerformularanforderungen</t>
  </si>
  <si>
    <t>ACCOUNT HOLDER NAME</t>
  </si>
  <si>
    <t>Account Holder Name</t>
  </si>
  <si>
    <t>Imię i nazwisko właściciela rachunku bankowego</t>
  </si>
  <si>
    <t>账户持有人姓名/公司名称</t>
  </si>
  <si>
    <t>口座名義 (半角ｶﾀｶﾅ）</t>
  </si>
  <si>
    <t>계좌명</t>
  </si>
  <si>
    <t>Nom du titulaire du compte bancaire</t>
  </si>
  <si>
    <t>Nombre del titular de la cuenta</t>
  </si>
  <si>
    <t>Kontoinhaber</t>
  </si>
  <si>
    <t>Bank Name</t>
  </si>
  <si>
    <t>Nazwa banku</t>
  </si>
  <si>
    <t>銀行名 / 银行名称</t>
  </si>
  <si>
    <t>銀行名称 (半角ｶﾀｶﾅ）</t>
  </si>
  <si>
    <t>은행이름</t>
  </si>
  <si>
    <t>Nom de la banque</t>
  </si>
  <si>
    <t>Nombre del banco</t>
  </si>
  <si>
    <t>Bankbezeichnung</t>
  </si>
  <si>
    <t>Branch Name</t>
  </si>
  <si>
    <t>Nazwa oddziału</t>
  </si>
  <si>
    <t>分支行名称</t>
  </si>
  <si>
    <t>銀行支店名(半角ｶﾀｶﾅ)</t>
  </si>
  <si>
    <t>(Bank address) 은행 주소</t>
  </si>
  <si>
    <t>Nom de la succursale</t>
  </si>
  <si>
    <t>Nombre de la sucursal</t>
  </si>
  <si>
    <t>Zweigname</t>
  </si>
  <si>
    <t>Bank Country</t>
  </si>
  <si>
    <t>Lokalizacja banku (kraj) (wybierz kraj)</t>
  </si>
  <si>
    <t>银行国家</t>
  </si>
  <si>
    <t>銀行の国</t>
  </si>
  <si>
    <t>은행 국가</t>
  </si>
  <si>
    <t>Pays de la banque (choisir un pays)</t>
  </si>
  <si>
    <t>País del banco</t>
  </si>
  <si>
    <t>Land der Bank</t>
  </si>
  <si>
    <t>Bank Account Number</t>
  </si>
  <si>
    <t>Numer rachunku bankowego</t>
  </si>
  <si>
    <t>口座番号 /  账号</t>
  </si>
  <si>
    <t xml:space="preserve"> 口座番号</t>
  </si>
  <si>
    <t>계좌번호</t>
  </si>
  <si>
    <t>Numéro de compte bancaire</t>
  </si>
  <si>
    <t>Número de cuenta bancaria</t>
  </si>
  <si>
    <t>Kontonummer</t>
  </si>
  <si>
    <t>Bank Code</t>
  </si>
  <si>
    <t>Kod banku</t>
  </si>
  <si>
    <t>銀行コード / 银行代码 / 联行号 （12位数字）</t>
  </si>
  <si>
    <t>銀行コード（番号4桁)</t>
  </si>
  <si>
    <t>Code banque</t>
  </si>
  <si>
    <t>Codigo bancario</t>
  </si>
  <si>
    <t>Bankleitzahl</t>
  </si>
  <si>
    <t>Sort/Branch Code</t>
  </si>
  <si>
    <t>Kod sort/oddziału</t>
  </si>
  <si>
    <t>支店名・コード / 分行代码</t>
  </si>
  <si>
    <t>支店名・コード (番号3桁)</t>
  </si>
  <si>
    <t>Code guichet/agence</t>
  </si>
  <si>
    <t>Código Sort</t>
  </si>
  <si>
    <t>BLZ/Filialcode</t>
  </si>
  <si>
    <t>US ACH Routing Code</t>
  </si>
  <si>
    <t>ACH Routing Code</t>
  </si>
  <si>
    <t>IBAN Number</t>
  </si>
  <si>
    <t>Numer IBAN</t>
  </si>
  <si>
    <t>IBAN号码</t>
  </si>
  <si>
    <t>IBAN番号</t>
  </si>
  <si>
    <t>Numéro IBAN</t>
  </si>
  <si>
    <t>Número IBAN</t>
  </si>
  <si>
    <t>IBAN-Nummer</t>
  </si>
  <si>
    <t>BIC/Swift Code</t>
  </si>
  <si>
    <t>BIC / SWIFT Code</t>
  </si>
  <si>
    <t>Kod BIC/SWIFT</t>
  </si>
  <si>
    <t>BIC / SWIFT代码</t>
  </si>
  <si>
    <t>BIC / SWIFTコード</t>
  </si>
  <si>
    <t>SWIFT 코드</t>
  </si>
  <si>
    <t>Code BIC / SWIFT</t>
  </si>
  <si>
    <t>Código de identificación del Banco / Código SWIFT</t>
  </si>
  <si>
    <t>BIC / SWIFT-Code</t>
  </si>
  <si>
    <t>SWIFT STATEMENT</t>
  </si>
  <si>
    <t>SWIFT code is required for foreign payments only.</t>
  </si>
  <si>
    <t>Kod SWIFT jest wymagany tylko w przypadku płatności zagranicznych.</t>
  </si>
  <si>
    <t>仅国外付款需要SWIFT代码。</t>
  </si>
  <si>
    <t>SWIFTコードは、海外での支払いにのみ必要です。</t>
  </si>
  <si>
    <t>SWIFT 코드는 해외 결제에만 필요합니다.</t>
  </si>
  <si>
    <t>Le code SWIFT est requis pour les paiements étrangers uniquement.</t>
  </si>
  <si>
    <t>El código SWIFT se requiere solo para pagos en el extranjero.</t>
  </si>
  <si>
    <t>Der SWIFT-Code ist nur für Auslandszahlungen erforderlich.</t>
  </si>
  <si>
    <t>PURPOSE CODE</t>
  </si>
  <si>
    <t>Purpose Code for Cross-border payments (Wire)</t>
  </si>
  <si>
    <t>跨境付款用途代码（电汇）</t>
  </si>
  <si>
    <t>クロスボーダー電信送金の送金目的コード</t>
  </si>
  <si>
    <t>해외 결제를위한 목적 코드 (와이어)</t>
  </si>
  <si>
    <t>FORM SUBMISSION</t>
  </si>
  <si>
    <t>ZGŁOSZENIE FORMULARZA</t>
  </si>
  <si>
    <t>表格提交</t>
  </si>
  <si>
    <t>フォームを提出する</t>
  </si>
  <si>
    <t>양식 제출</t>
  </si>
  <si>
    <t>SOUMISSION DU FORMULAIRE</t>
  </si>
  <si>
    <t>FORMULARIO DE PRESENTACIÓN</t>
  </si>
  <si>
    <t>FORMULAR EINREICHUNG</t>
  </si>
  <si>
    <t>EMAIL</t>
  </si>
  <si>
    <t>Email</t>
  </si>
  <si>
    <t>电子邮件</t>
  </si>
  <si>
    <t>メールアドレス</t>
  </si>
  <si>
    <t>이메일</t>
  </si>
  <si>
    <t>Correo electrónico</t>
  </si>
  <si>
    <t>FAX</t>
  </si>
  <si>
    <t>Secure Fax Number</t>
  </si>
  <si>
    <t>Bezpieczne numery faksu</t>
  </si>
  <si>
    <t>安全传真号码</t>
  </si>
  <si>
    <t>セキュアFAX番号</t>
  </si>
  <si>
    <t>보안된 팩스 번호</t>
  </si>
  <si>
    <t>Numéro sécurisé de fax</t>
  </si>
  <si>
    <t>Números de fax seguros</t>
  </si>
  <si>
    <t>Sichere Faxnummer</t>
  </si>
  <si>
    <t>MAILING</t>
  </si>
  <si>
    <t>Mailing Address</t>
  </si>
  <si>
    <t>Adresy korespondencyjne</t>
  </si>
  <si>
    <t>邮寄地址</t>
  </si>
  <si>
    <t>発送先住所</t>
  </si>
  <si>
    <t>우편 주소</t>
  </si>
  <si>
    <t>Adresse postale</t>
  </si>
  <si>
    <t>Direcciones postales</t>
  </si>
  <si>
    <t>Postanschriften</t>
  </si>
  <si>
    <t>CERTIFICATION STATEMENT</t>
  </si>
  <si>
    <t xml:space="preserve">I HEREBY CERTIFY THAT THE INFORMATION PROVIDED HEREIN IS COMPLETE AND FACTUAL TO THE BEST OF MY KNOWLEDGE. *
Supplier understands LexisNexis Accounts Payable confidentially maintains a global supplier platform, therefore information provided on this form may be used for payments owing to the supplier from any of the RELX global companies. </t>
  </si>
  <si>
    <t>NINIEJSZYM POŚWIADCZAM, ŻE PODANE W NINIEJSZYCH INFORMACJI SĄ KOMPLETNE I FAKTYCZNE W ZALEŻNOŚCI OD MOJEJ WIEDZY. *
Dostawca rozumie, że LexisNexis Accounts Payable w sposób poufny utrzymuje globalną platformę dostawców, dlatego informacje podane w tym formularzu mogą być wykorzystywane do płatności należnych dostawcy od dowolnej z globalnych firm RELX.</t>
  </si>
  <si>
    <t>我据此证明，此处所提供的信息是完整的，并且是我所知的全部事实。 *
供应商了解LexisNexis应付款管理系统是机密信息，可维护全球供应商平台，因此，该表格上提供的信息可用于支付任何RELX全球公司欠供应商的款项。</t>
  </si>
  <si>
    <t>私は、ここに提供された情報が私の知識の範囲内で完全かつ事実であることを保証します。 *
サプライヤーは、LexisNexis Accounts Payableがグローバルなサプライヤープラットフォームを機密情報として管理していることを理解しているため、このフォームで提供される情報は、RELXグローバル企業からのサプライヤーへの支払いに使用される場合があります。</t>
  </si>
  <si>
    <t>여기에 제공된 정보가 내 지식을 최대한 활용하는 완전하고 사실임을 보증합니다. *
공급 업체는 LexisNexis Accounts Payable이 글로벌 공급 업체 플랫폼을 기밀로 유지하고 있음을 이해하므로이 양식에 제공된 정보는 RELX 글로벌 회사의 공급 업체에 대한 지불에 사용될 수 있습니다.</t>
  </si>
  <si>
    <t>JE CERTIFIE PAR LA PRÉSENTE QUE LES INFORMATIONS FOURNIES DANS CE DOCUMENT SONT, A MA CONNAISSANCE, COMPLÈTES ET FACTUELLES . *
Le fournisseur comprend que LexisNexis Accounts Payable gère de manière confidentielle une plate-forme de fournisseur mondiale, par conséquent les informations fournies sur ce formulaire peuvent être utilisées pour les paiements dus au fournisseur de l'une des sociétés internationales RELX.</t>
  </si>
  <si>
    <t>POR LA PRESENTE CERTIFICO QUE LA INFORMACIÓN PROPORCIONADA AQUÍ ES COMPLETA Y FACTUAL A LO MEJOR DE MI CONOCIMIENTO. *
El Proveedor entiende que LexisNexis Accounts Payable mantiene de manera confidencial una plataforma de proveedor global, por lo tanto, la información proporcionada en este formulario puede usarse para pagos adeudados al proveedor de cualquiera de las compañías globales de RELX.</t>
  </si>
  <si>
    <t>Ich bestätige hiermit, dass die hierin bereitgestellten Informationen nach bestem Wissen und Gewissen vollständig und faktisch sind. * 
Der Lieferant versteht, dass LexisNexis Accounts Payable vertraulich eine globale Lieferantenplattform unterhält. Daher können die auf diesem Formular bereitgestellten Informationen für Zahlungen an den Lieferanten von einem der globalen RELX-Unternehmen verwendet werden.</t>
  </si>
  <si>
    <t>DATE</t>
  </si>
  <si>
    <t>Date</t>
  </si>
  <si>
    <t>Data</t>
  </si>
  <si>
    <t>日期</t>
  </si>
  <si>
    <t>日付</t>
  </si>
  <si>
    <t>년,월,일</t>
  </si>
  <si>
    <t>Fecha</t>
  </si>
  <si>
    <t>Datum</t>
  </si>
  <si>
    <t>NAME</t>
  </si>
  <si>
    <t>Name</t>
  </si>
  <si>
    <t>Imię</t>
  </si>
  <si>
    <t>供应商签字</t>
  </si>
  <si>
    <t>申請者氏名</t>
  </si>
  <si>
    <t>신청자이름</t>
  </si>
  <si>
    <t>Nom</t>
  </si>
  <si>
    <t>Nombre</t>
  </si>
  <si>
    <t>TITLE</t>
  </si>
  <si>
    <t>Title</t>
  </si>
  <si>
    <t>Tytuł</t>
  </si>
  <si>
    <t>称号</t>
  </si>
  <si>
    <t>役職</t>
  </si>
  <si>
    <t>표제</t>
  </si>
  <si>
    <t>Fonction</t>
  </si>
  <si>
    <t>Título</t>
  </si>
  <si>
    <t>Titel</t>
  </si>
  <si>
    <t>SIGNATURE</t>
  </si>
  <si>
    <t>Signature</t>
  </si>
  <si>
    <t>Podpis</t>
  </si>
  <si>
    <t>签名</t>
  </si>
  <si>
    <t>サイン</t>
  </si>
  <si>
    <t>서명</t>
  </si>
  <si>
    <t>Firma</t>
  </si>
  <si>
    <t>Unterschrift</t>
  </si>
  <si>
    <t>CONVERT TO PDF</t>
  </si>
  <si>
    <t xml:space="preserve">THIS FORM MUST BE PROVIDED TO ACCOUNTS PAYABLE IN PDF FORMAT. 
Either select Save As and choose a Save as type of PDF 
or Print and select Printer of Microsoft Print to PDF. </t>
  </si>
  <si>
    <t>TEN FORMULARZ MUSI ZOSTAĆ DOSTARCZONY DO KSIĘG W FORMACIE PDF.
Wybierz opcję „Zapisz jako” i wybierz opcję „Zapisz jako” w formacie PDF lub „Drukuj” i wybierz opcję „Drukarka” w programie Microsoft Print to PDF.</t>
  </si>
  <si>
    <t>此表格必须以 PDF 格式提供给应付账款部门。
请选择“另存为”，并选择“保存类型”为 PDF，或“打印”，并选择“打印机”或“Microsoft Print to PDF”。</t>
  </si>
  <si>
    <t>このフォームはPDF形式で買掛金担当者に提出してください。
「名前を付けて保存」を選択し、保存形式としてPDFを選択するか、「印刷」を選択し、プリンターとしてMicrosoft Print to PDFを選択してください。</t>
  </si>
  <si>
    <t>이 양식은 PDF 형식으로 지급계정에 제공되어야 합니다.
'다른 이름으로 저장'을 선택하고 'PDF' 파일 형식을 선택하거나, '인쇄'를 선택하고 'Microsoft Print to PDF' 프린터를 선택하세요.</t>
  </si>
  <si>
    <t>CE FORMULAIRE DOIT ÊTRE FOURNI AU SERVICE DES COMPTES FOURNISSEURS AU FORMAT PDF.
Sélectionnez « Enregistrer sous » et choisissez un type d'enregistrement PDF ou « Imprimer » et sélectionnez « Imprimer au format PDF Microsoft ».</t>
  </si>
  <si>
    <t>ESTE FORMULARIO DEBE ENTREGARSE A LAS CUENTAS POR PAGAR EN FORMATO PDF.
Seleccione "Guardar como" y elija el tipo de PDF o "Imprimir" y seleccione "Impresora" o "Imprimir a PDF" de Microsoft.</t>
  </si>
  <si>
    <t>Dieses Formular muss der Kreditorenbuchhaltung im PDF-Format zur Verfügung gestellt werden.
Wählen Sie entweder „Speichern unter“ und anschließend „PDF“ oder „Drucken“ und wählen Sie „Drucker“ oder „Microsoft Print to PDF“.</t>
  </si>
  <si>
    <t>EMAIL NOTE</t>
  </si>
  <si>
    <t>EMAIL COMPLETED PDF COPY OF THIS FORM AND ALL OTHER RELEVANT DOCUMENTATION TO:</t>
  </si>
  <si>
    <t>WYPEŁNIONE E-MAILEM PDF KOPIA TEGO FORMULARZA I WSZYSTKICH INNYCH ODPOWIEDNICH DOKUMENTACJI DO:</t>
  </si>
  <si>
    <t>电子邮件已完成PDF格式的本表以及所有其他相关文档的副本：</t>
  </si>
  <si>
    <t>このフォームと他のすべての関連文書の完全なPDFコピーをメールで送信：</t>
  </si>
  <si>
    <t>이 양식 및 기타 모든 관련 문서의 완성 된 PDF 사본을 다음 주소로 이메일로 보내십시오.</t>
  </si>
  <si>
    <t>ENVOYER UNE COPIE PDF REMPLIE PAR COURRIEL DE CE FORMULAIRE ET DE TOUTE AUTRE DOCUMENTATION PERTINENTE À:</t>
  </si>
  <si>
    <t>CORREO ELECTRÓNICO COMPLETADO COPIA EN PDF DE ESTE FORMULARIO Y TODA LA DEMÁS DOCUMENTACIÓN PERTINENTE A:</t>
  </si>
  <si>
    <t>E-MAIL BEENDETE PDF-KOPIE DIESES FORMULARS UND ALLER ANDEREN RELEVANTEN DOKUMENTATION AN:</t>
  </si>
  <si>
    <t>SELECT ONE DROP DOWN</t>
  </si>
  <si>
    <t>Wybierz jeden...</t>
  </si>
  <si>
    <t>选择一个...</t>
  </si>
  <si>
    <t>ひとつ選択してください…</t>
  </si>
  <si>
    <t>하나를 고르시 오...</t>
  </si>
  <si>
    <t>Veuillez sélectionner</t>
  </si>
  <si>
    <t>Seleccione uno...</t>
  </si>
  <si>
    <t>Wähle eins...</t>
  </si>
  <si>
    <t>YES DROP DOWN</t>
  </si>
  <si>
    <t>YES</t>
  </si>
  <si>
    <t>TAK</t>
  </si>
  <si>
    <t>是</t>
  </si>
  <si>
    <t>はい</t>
  </si>
  <si>
    <t>예</t>
  </si>
  <si>
    <t>OUI</t>
  </si>
  <si>
    <t>SI</t>
  </si>
  <si>
    <t>JA</t>
  </si>
  <si>
    <t>NO DROP DOWN</t>
  </si>
  <si>
    <t>NO</t>
  </si>
  <si>
    <t>NIE</t>
  </si>
  <si>
    <t>没有</t>
  </si>
  <si>
    <t>いいえ</t>
  </si>
  <si>
    <t>아니</t>
  </si>
  <si>
    <t>NON</t>
  </si>
  <si>
    <t>NEIN</t>
  </si>
  <si>
    <t>TYPE OF REQUEST DROP DOWN</t>
  </si>
  <si>
    <t>New Supplier Setup</t>
  </si>
  <si>
    <t>Konfiguracja nowego dostawcy</t>
  </si>
  <si>
    <t>新供应商设置</t>
  </si>
  <si>
    <t>新しいサプライヤーを登録する</t>
  </si>
  <si>
    <t>새로운 공급 업체 설정</t>
  </si>
  <si>
    <t>Référencement d'un nouveau fournisseur</t>
  </si>
  <si>
    <t>Nueva configuración de proveedor</t>
  </si>
  <si>
    <t>Neues Lieferanten-Setup</t>
  </si>
  <si>
    <t>Change/Update Supplier Details</t>
  </si>
  <si>
    <t>Zmień / zaktualizuj dane dostawcy</t>
  </si>
  <si>
    <t>更改/更新供应商详细信息</t>
  </si>
  <si>
    <t>サプライヤー登録情報を変更/更新する</t>
  </si>
  <si>
    <t>공급 업체 세부 사항 변경 / 업데이트</t>
  </si>
  <si>
    <t>Modifier / mettre à jour les informations du fournisseur</t>
  </si>
  <si>
    <t>Cambiar / Actualizar Detalles del proveedor</t>
  </si>
  <si>
    <t>Lieferantendetails ändern / aktualisieren</t>
  </si>
  <si>
    <t>Reactivate an Inactive Supplier</t>
  </si>
  <si>
    <t>Ponownie aktywuj nieaktywnego dostawcę</t>
  </si>
  <si>
    <t>重新激活暂停使用的供应商</t>
  </si>
  <si>
    <t>無効サプライヤーを再有効化する</t>
  </si>
  <si>
    <t>Réactiver un fournisseur inactif</t>
  </si>
  <si>
    <t>Reactivar un proveedor inactivo</t>
  </si>
  <si>
    <t>Reaktivieren Sie einen inaktiven Lieferanten</t>
  </si>
  <si>
    <t>その他の</t>
  </si>
  <si>
    <t>Andere</t>
  </si>
  <si>
    <t>WHAT TO CHANGE DROP DOWN</t>
  </si>
  <si>
    <t>Add additional address</t>
  </si>
  <si>
    <t>Dodaj dodatkowy adres</t>
  </si>
  <si>
    <t>添加其他地址</t>
  </si>
  <si>
    <t>発送先住所を追加する</t>
  </si>
  <si>
    <t>추가 주소 추가</t>
  </si>
  <si>
    <t>Ajouter une adresse supplémentaire</t>
  </si>
  <si>
    <t>Agregar dirección adicional</t>
  </si>
  <si>
    <t>Zusätzliche Adresse hinzufügen</t>
  </si>
  <si>
    <t>Change existing address</t>
  </si>
  <si>
    <t>Zmień istniejący adres</t>
  </si>
  <si>
    <t>更改现有地址</t>
  </si>
  <si>
    <t>登録住所を変更する</t>
  </si>
  <si>
    <t>기존 주소 변경</t>
  </si>
  <si>
    <t>Modifier l'adresse existante</t>
  </si>
  <si>
    <t>Cambiar dirección existente</t>
  </si>
  <si>
    <t>Ändern Sie die vorhandene Adresse</t>
  </si>
  <si>
    <t>Change banking details</t>
  </si>
  <si>
    <t>Zmień dane bankowe</t>
  </si>
  <si>
    <t>更改银行明细</t>
  </si>
  <si>
    <t>登録銀行情報を変更する</t>
  </si>
  <si>
    <t>은행 세부 정보 변경</t>
  </si>
  <si>
    <t>Modifier les coordonnées bancaires</t>
  </si>
  <si>
    <t>Cambiar detalles bancarios</t>
  </si>
  <si>
    <t>Bankdaten ändern</t>
  </si>
  <si>
    <t>Change address and bank details</t>
  </si>
  <si>
    <t>Zmień adres i dane bankowe</t>
  </si>
  <si>
    <t>更改地址和银行详细信息</t>
  </si>
  <si>
    <t>住所と銀行の詳細を変更する</t>
  </si>
  <si>
    <t>주소 및 은행 정보 변경</t>
  </si>
  <si>
    <t>Modifier l'adresse et les coordonnées bancaires</t>
  </si>
  <si>
    <t>Cambiar dirección y datos bancarios</t>
  </si>
  <si>
    <t>Adresse und Bankverbindung ändern</t>
  </si>
  <si>
    <t>PAY METHOD DROP DOWN</t>
  </si>
  <si>
    <t>Electronic</t>
  </si>
  <si>
    <t>Elektroniczny</t>
  </si>
  <si>
    <t>电子资金转账（默认）</t>
  </si>
  <si>
    <t>銀行振込</t>
  </si>
  <si>
    <t>은행입금</t>
  </si>
  <si>
    <t>Électronique</t>
  </si>
  <si>
    <t>Electrónico</t>
  </si>
  <si>
    <t>Elektronisch</t>
  </si>
  <si>
    <t>LOC OF WORK DROP DOWN</t>
  </si>
  <si>
    <t>Within the United States</t>
  </si>
  <si>
    <t>W Stanach Zjednoczonych</t>
  </si>
  <si>
    <t>在美国境内</t>
  </si>
  <si>
    <t>アメリカ国内</t>
  </si>
  <si>
    <t>미국 내</t>
  </si>
  <si>
    <t>Aux États-Unis</t>
  </si>
  <si>
    <t>Dentro de los Estados Unidos</t>
  </si>
  <si>
    <t>Innerhalb der Vereinigten Staaten</t>
  </si>
  <si>
    <t>Outside the United States</t>
  </si>
  <si>
    <t>Poza Stanami Zjednoczonymi</t>
  </si>
  <si>
    <t>美国以外</t>
  </si>
  <si>
    <t>アメリカ国外</t>
  </si>
  <si>
    <t>미국 이외의 지역</t>
  </si>
  <si>
    <t>En dehors des États-Unis</t>
  </si>
  <si>
    <t>Fuera de los Estados Unidos</t>
  </si>
  <si>
    <t>Außerhalb der USA</t>
  </si>
  <si>
    <t>TYPE OF WORK DROP DOWN</t>
  </si>
  <si>
    <t>Services</t>
  </si>
  <si>
    <t>Usługi</t>
  </si>
  <si>
    <t>服务</t>
  </si>
  <si>
    <t>サービス</t>
  </si>
  <si>
    <t>서비스</t>
  </si>
  <si>
    <t>Prestations de service</t>
  </si>
  <si>
    <t>Servicios</t>
  </si>
  <si>
    <t>Dienstleistungen</t>
  </si>
  <si>
    <t>Goods</t>
  </si>
  <si>
    <t>Dobra</t>
  </si>
  <si>
    <t>产品</t>
  </si>
  <si>
    <t>商品</t>
  </si>
  <si>
    <t>상품</t>
  </si>
  <si>
    <t>Vente de biens</t>
  </si>
  <si>
    <t>Bienes</t>
  </si>
  <si>
    <t>Waren</t>
  </si>
  <si>
    <t>Goods and Services</t>
  </si>
  <si>
    <t>Dobra i usługi</t>
  </si>
  <si>
    <t>产品与服务</t>
  </si>
  <si>
    <t>商品・サービス</t>
  </si>
  <si>
    <t>상품 및 서비스</t>
  </si>
  <si>
    <t>Biens et services</t>
  </si>
  <si>
    <t>Bienes y servicios</t>
  </si>
  <si>
    <t>Waren und Dienstleistungen</t>
  </si>
  <si>
    <t>Royalties</t>
  </si>
  <si>
    <t>Tantiemy</t>
  </si>
  <si>
    <t>特许权使用费</t>
  </si>
  <si>
    <t>ロイヤリティ</t>
  </si>
  <si>
    <t>로열티</t>
  </si>
  <si>
    <t>Redevances / droits d'auteur</t>
  </si>
  <si>
    <t>Regalías</t>
  </si>
  <si>
    <t>Lizenzgebühren</t>
  </si>
  <si>
    <t>Police Reports</t>
  </si>
  <si>
    <t>Raporty policyjne</t>
  </si>
  <si>
    <t>警察报告</t>
  </si>
  <si>
    <t>警察の報告</t>
  </si>
  <si>
    <t>경찰 보고서</t>
  </si>
  <si>
    <t>Rapports de police</t>
  </si>
  <si>
    <t>Reportes policiales</t>
  </si>
  <si>
    <t>Polizeiberichte</t>
  </si>
  <si>
    <t>SUPPLIER TYPE DROP DOWN</t>
  </si>
  <si>
    <t>Editors &amp; Authors</t>
  </si>
  <si>
    <t>Redaktorzy i autorzy</t>
  </si>
  <si>
    <t>编辑和作者</t>
  </si>
  <si>
    <t>編集者と著者</t>
  </si>
  <si>
    <t>편집자 및 저자</t>
  </si>
  <si>
    <t>Éditeurs et auteurs</t>
  </si>
  <si>
    <t>Editores y Autores</t>
  </si>
  <si>
    <t>Herausgeber und Autoren</t>
  </si>
  <si>
    <t>Commissions</t>
  </si>
  <si>
    <t>Prowizje</t>
  </si>
  <si>
    <t>佣金</t>
  </si>
  <si>
    <t>手数料</t>
  </si>
  <si>
    <t>위원회</t>
  </si>
  <si>
    <t>Comisiones</t>
  </si>
  <si>
    <t>Provisionen</t>
  </si>
  <si>
    <t>Customer Refund</t>
  </si>
  <si>
    <t>Zwrot klienta</t>
  </si>
  <si>
    <t>客户退款</t>
  </si>
  <si>
    <t>顧客への払い戻し</t>
  </si>
  <si>
    <t>고객 환불</t>
  </si>
  <si>
    <t>Remboursement client</t>
  </si>
  <si>
    <t>Reembolso al cliente</t>
  </si>
  <si>
    <t>Kundenrückerstattung</t>
  </si>
  <si>
    <t>eCrash</t>
  </si>
  <si>
    <t>Employee</t>
  </si>
  <si>
    <t>Pracownik</t>
  </si>
  <si>
    <t>雇员</t>
  </si>
  <si>
    <t>従業員</t>
  </si>
  <si>
    <t>종업원</t>
  </si>
  <si>
    <t>Employé</t>
  </si>
  <si>
    <t>Empleado</t>
  </si>
  <si>
    <t>Mitarbeiter(masculine)</t>
  </si>
  <si>
    <t>Freelancers</t>
  </si>
  <si>
    <t>Freelancerzy</t>
  </si>
  <si>
    <t>自由职业者</t>
  </si>
  <si>
    <t>フリーランサー</t>
  </si>
  <si>
    <t>프리랜서</t>
  </si>
  <si>
    <t>Indépendants</t>
  </si>
  <si>
    <t>Trabajadores autónomos</t>
  </si>
  <si>
    <t>Freiberufler</t>
  </si>
  <si>
    <t>Legal Services / Settlement</t>
  </si>
  <si>
    <t>Usługi prawne / Ugoda</t>
  </si>
  <si>
    <t>法律服务/和解</t>
  </si>
  <si>
    <t>法律サービス / 和解</t>
  </si>
  <si>
    <t>법률 서비스/합의</t>
  </si>
  <si>
    <t>Services juridiques / Règlement</t>
  </si>
  <si>
    <t>Servicios legales / Liquidación</t>
  </si>
  <si>
    <t>Rechtsberatung / Vergleich</t>
  </si>
  <si>
    <t>Micro Small and Medium Enterprise - for India only</t>
  </si>
  <si>
    <t>Mikro małe i średnie przedsiębiorstwa – tylko w Indiach</t>
  </si>
  <si>
    <t>微型中小企业 - 仅适用于印度</t>
  </si>
  <si>
    <t>マイクロ中小企業-インドのみ</t>
  </si>
  <si>
    <t>Micro Small and Medium Enterprise - 인도 전용</t>
  </si>
  <si>
    <t>Micro petite et moyenne entreprise - pour l'Inde uniquement</t>
  </si>
  <si>
    <t>Microempresas pequeñas y medianas: solo para India</t>
  </si>
  <si>
    <t>Kleinst- und mittelständische Unternehmen – nur für Indien</t>
  </si>
  <si>
    <t>Supplier</t>
  </si>
  <si>
    <t>Dostawca</t>
  </si>
  <si>
    <t>供应商</t>
  </si>
  <si>
    <t>サプライヤー</t>
  </si>
  <si>
    <t>공급업체</t>
  </si>
  <si>
    <t>Fournisseur</t>
  </si>
  <si>
    <t>Proveedor</t>
  </si>
  <si>
    <t>Anbieter</t>
  </si>
  <si>
    <t>Rent / Lease</t>
  </si>
  <si>
    <t>Wynajem / dzierżawa</t>
  </si>
  <si>
    <t>租金/租赁</t>
  </si>
  <si>
    <t>レンタル/リース</t>
  </si>
  <si>
    <t>임대/리스</t>
  </si>
  <si>
    <t>Location / Bail</t>
  </si>
  <si>
    <t>Alquiler / Arrendamiento</t>
  </si>
  <si>
    <t>Miete / Pacht</t>
  </si>
  <si>
    <t>Redevance</t>
  </si>
  <si>
    <t>Royalty - Licensing</t>
  </si>
  <si>
    <t>Royalty - Licencjonowanie</t>
  </si>
  <si>
    <t>版税 - 许可</t>
  </si>
  <si>
    <t>ロイヤリティ-ライセンス</t>
  </si>
  <si>
    <t>로열티 - 라이선스</t>
  </si>
  <si>
    <t>Royauté - Licences</t>
  </si>
  <si>
    <t>Royalty - Licencias</t>
  </si>
  <si>
    <t>Lizenzgebühren - Lizenzierung</t>
  </si>
  <si>
    <t>Royalty Free Licensor</t>
  </si>
  <si>
    <t>Licencjodawca Royalty Free</t>
  </si>
  <si>
    <t>免版税</t>
  </si>
  <si>
    <t>ロイヤリティフリーのライセンサー</t>
  </si>
  <si>
    <t>로열티 프리 라이센서</t>
  </si>
  <si>
    <t>Concédant de licence libre de droits</t>
  </si>
  <si>
    <t>Licenciante libre de derechos</t>
  </si>
  <si>
    <t>Lizenzfreier Lizenzgeber</t>
  </si>
  <si>
    <t>Tax Authority</t>
  </si>
  <si>
    <t>Urząd Podatkowy</t>
  </si>
  <si>
    <t>税务机关</t>
  </si>
  <si>
    <t>税務当局</t>
  </si>
  <si>
    <t>세무 당국</t>
  </si>
  <si>
    <t>Autorité fiscale</t>
  </si>
  <si>
    <t>Autoridad Tributaria</t>
  </si>
  <si>
    <t>Steuerbehörde</t>
  </si>
  <si>
    <t>Utilities</t>
  </si>
  <si>
    <t>Narzędzia</t>
  </si>
  <si>
    <t>行政事业单位</t>
  </si>
  <si>
    <t>公共料金</t>
  </si>
  <si>
    <t>유틸리티 공급업체</t>
  </si>
  <si>
    <t>Utilitaires</t>
  </si>
  <si>
    <t>Utilidades</t>
  </si>
  <si>
    <t>Dienstprogramme</t>
  </si>
  <si>
    <t>UK FREELANCER DROP DOWN</t>
  </si>
  <si>
    <t>Within the United Kingdom</t>
  </si>
  <si>
    <t>Na terenie Wielkiej Brytanii</t>
  </si>
  <si>
    <t>英国境内</t>
  </si>
  <si>
    <t>イギリス国内</t>
  </si>
  <si>
    <t>영국 내</t>
  </si>
  <si>
    <t>Au Royaume-Uni</t>
  </si>
  <si>
    <t>Dentro del Reino Unido</t>
  </si>
  <si>
    <t>Innerhalb des Vereinigten Königreichs</t>
  </si>
  <si>
    <t>Outside the United Kingdom</t>
  </si>
  <si>
    <t>Poza Wielką Brytanią</t>
  </si>
  <si>
    <t>英国以外</t>
  </si>
  <si>
    <t>イギリス国外</t>
  </si>
  <si>
    <t>영국 이외의 지역</t>
  </si>
  <si>
    <t>Hors du Royaume-Uni</t>
  </si>
  <si>
    <t>Fuera del Reino Unido</t>
  </si>
  <si>
    <t>Außerhalb des Vereinigten Königreichs</t>
  </si>
  <si>
    <t>CANADA TAX</t>
  </si>
  <si>
    <r>
      <t xml:space="preserve">Social Insurance # (SIN) - </t>
    </r>
    <r>
      <rPr>
        <i/>
        <sz val="10"/>
        <color theme="1"/>
        <rFont val="Calibri"/>
        <family val="2"/>
        <scheme val="minor"/>
      </rPr>
      <t>enter if payment is being made to an individual</t>
    </r>
  </si>
  <si>
    <t>Numer ubezpieczenia społecznego (SIN) - wpisz, jeśli płatność jest dokonywana na rzecz osoby fizycznej</t>
  </si>
  <si>
    <t>社会保险号（SIN）-输入是否向个人付款</t>
  </si>
  <si>
    <t>社会保険番号（SIN）-個人に支払いが行われる場</t>
  </si>
  <si>
    <t>사회 보험 번호 (SIN)-개인에게 지불하는 경우 입력</t>
  </si>
  <si>
    <t>Numéro d'assurance sociale (NAS) - entrez si le paiement est fait à un particulier</t>
  </si>
  <si>
    <t>Número de seguro social (SIN): ingrese si el pago se realiza a una persona</t>
  </si>
  <si>
    <t>Sozialversicherungsnummer (SIN) - Geben Sie ein, ob eine Zahlung an eine Person erfolgt</t>
  </si>
  <si>
    <t>Are you HST, GST, or QST Registered?</t>
  </si>
  <si>
    <t>Czy jesteś zarejestrowany jako HST, GST lub QST?</t>
  </si>
  <si>
    <t>您是否已注册HST，GST或QST？</t>
  </si>
  <si>
    <t>HST、GST、またはQSTを登録していますか？</t>
  </si>
  <si>
    <t>HST, GST 또는 QST에 등록되어 있습니까?</t>
  </si>
  <si>
    <t>Êtes-vous inscrit à la TVH, à la TPS ou à la TVQ?</t>
  </si>
  <si>
    <t>¿Estás registrada en HST, GST o QST?</t>
  </si>
  <si>
    <t>Sind Sie HST, GST oder QST registriert?</t>
  </si>
  <si>
    <t>Enter HST, GST or QST Number</t>
  </si>
  <si>
    <t>Wprowadź numer HST, GST lub QST</t>
  </si>
  <si>
    <t>输入HST，GST或QST号</t>
  </si>
  <si>
    <t>HST、GST、またはQST番号を入力してください</t>
  </si>
  <si>
    <t>HST, GST 또는 QST 번호 입력</t>
  </si>
  <si>
    <t>Entrez le numéro de TVH, TPS ou TVQ</t>
  </si>
  <si>
    <t>Ingrese el número HST, GST o QST</t>
  </si>
  <si>
    <t>Geben Sie die HST-, GST- oder QST-Nummer ein</t>
  </si>
  <si>
    <r>
      <t xml:space="preserve">Business Number - </t>
    </r>
    <r>
      <rPr>
        <i/>
        <sz val="10"/>
        <color theme="1"/>
        <rFont val="Calibri"/>
        <family val="2"/>
        <scheme val="minor"/>
      </rPr>
      <t>enter if payment is being made to an entity</t>
    </r>
  </si>
  <si>
    <t>Numer biznesowy - wprowadź, jeśli dokonywana jest płatność na rzecz podmiotu</t>
  </si>
  <si>
    <t>商家编号-输入是否向实体付款</t>
  </si>
  <si>
    <t>事業番号-エンティティに支払いが行われている場合に入力します</t>
  </si>
  <si>
    <t>사업자 번호-법인에 지급하는 경우 입력</t>
  </si>
  <si>
    <t>Numéro d'entreprise - entrez si le paiement est effectué à une entité</t>
  </si>
  <si>
    <t>Número comercial: ingrese si el pago se realiza a una entidad</t>
  </si>
  <si>
    <t>Geschäftsnummer - Geben Sie ein, ob eine Zahlung an eine Entität erfolgt</t>
  </si>
  <si>
    <t>BANK ACCOUNT CURRENCY</t>
  </si>
  <si>
    <t>Bank Account Currency</t>
  </si>
  <si>
    <t>Waluta konta bankowego</t>
  </si>
  <si>
    <t>银行账户货币</t>
  </si>
  <si>
    <t>銀行口座の通貨</t>
  </si>
  <si>
    <t>은행 계좌 통화</t>
  </si>
  <si>
    <t>Devise du compte bancaire</t>
  </si>
  <si>
    <t>Tipo de Moneda de Cuenta Bancaria</t>
  </si>
  <si>
    <t>Bankkontowährung</t>
  </si>
  <si>
    <t>INVOICE CURRENCY</t>
  </si>
  <si>
    <t>請求書の通貨</t>
  </si>
  <si>
    <t>결제 통화</t>
  </si>
  <si>
    <t>INVOICE CURRENCY STATEMENT</t>
  </si>
  <si>
    <t>Please ensure your invoice currency matches your bank account currency.</t>
  </si>
  <si>
    <t>Upewnij się, że waluta faktury jest zgodna z walutą konta bankowego.</t>
  </si>
  <si>
    <t>请确保您的发票货币与您的银行帐户货币匹配。</t>
  </si>
  <si>
    <t>請求書の通貨が銀行口座の通貨と一致していることを確認してください。</t>
  </si>
  <si>
    <t>인보이스 통화가 은행 계좌 통화와 일치하는지 확인하세요.</t>
  </si>
  <si>
    <t>Veuillez vous assurer que la devise de votre facture correspond à la devise de votre compte bancaire.</t>
  </si>
  <si>
    <t>Asegúrese de que la moneda de su factura coincida con la moneda de su cuenta bancaria.</t>
  </si>
  <si>
    <t>Bitte stellen Sie sicher, dass Ihre Rechnungswährung mit Ihrer Bankkontowährung übereinstimmt.</t>
  </si>
  <si>
    <t>YES OR NO DROP DOWN</t>
  </si>
  <si>
    <t>Wybierz Tak lub Nie</t>
  </si>
  <si>
    <t>选择是或否</t>
  </si>
  <si>
    <t>はいまたはいいえを選択</t>
  </si>
  <si>
    <t>예 또는 아니오를 선택하십시오.</t>
  </si>
  <si>
    <t>Sélectionnez Oui ou Non</t>
  </si>
  <si>
    <t>Seleccione Sí o No</t>
  </si>
  <si>
    <t>Wählen Sie Ja oder Nein</t>
  </si>
  <si>
    <t>METHOD OF REMUNERATION</t>
  </si>
  <si>
    <t>Method of Remuneration</t>
  </si>
  <si>
    <t>Sposób wynagradzania</t>
  </si>
  <si>
    <t>报酬办法</t>
  </si>
  <si>
    <t>報酬の方法</t>
  </si>
  <si>
    <t>보상 방법</t>
  </si>
  <si>
    <t>Mode de rémunération</t>
  </si>
  <si>
    <t>Método de remuneración</t>
  </si>
  <si>
    <t>Vergütungsmethode</t>
  </si>
  <si>
    <t>US CAN REMUNERATION DROP DOWN</t>
  </si>
  <si>
    <t>Canada Online Royalty</t>
  </si>
  <si>
    <t>Kanada Online Royalty</t>
  </si>
  <si>
    <t>加拿大在线版税</t>
  </si>
  <si>
    <t>カナダオンラインロイヤリティ</t>
  </si>
  <si>
    <t>캐나다 온라인 로열티</t>
  </si>
  <si>
    <t>Canada en ligne Royauté</t>
  </si>
  <si>
    <t>Canadiense Online Royalty</t>
  </si>
  <si>
    <t>Kanada Online-Lizenzgebühren</t>
  </si>
  <si>
    <t>Canada Print Royalty</t>
  </si>
  <si>
    <t>Kanada Drukuj Royalty</t>
  </si>
  <si>
    <t>加拿大印刷版税</t>
  </si>
  <si>
    <t>カナダプリントロイヤリティ</t>
  </si>
  <si>
    <t>캐나다 인쇄 로열티</t>
  </si>
  <si>
    <t>Canada Imprimer Royauté</t>
  </si>
  <si>
    <t>Realeza de impresión de Canadá</t>
  </si>
  <si>
    <t>Kanada Print Royalty</t>
  </si>
  <si>
    <t>Canada Online and Print Royalty</t>
  </si>
  <si>
    <t>Kanada Online and Print Royalty</t>
  </si>
  <si>
    <t>加拿大在线和印刷版税</t>
  </si>
  <si>
    <t>カナダオンラインおよび印刷ロイヤリティ</t>
  </si>
  <si>
    <t>캐나다 온라인 및 인쇄 로열티</t>
  </si>
  <si>
    <t>Redevances en ligne et imprimées du Canada</t>
  </si>
  <si>
    <t>Canadá en línea y realeza impresa</t>
  </si>
  <si>
    <t>Kanada Online- und Print-Lizenzgebühren</t>
  </si>
  <si>
    <t>Flat Fee</t>
  </si>
  <si>
    <t>Stała opłata</t>
  </si>
  <si>
    <t>固定费用</t>
  </si>
  <si>
    <t>定額料金</t>
  </si>
  <si>
    <t>정액 요금</t>
  </si>
  <si>
    <t>Frais fixes</t>
  </si>
  <si>
    <t>Tarifa plana</t>
  </si>
  <si>
    <t>Pauschalgebühr</t>
  </si>
  <si>
    <t>Michie</t>
  </si>
  <si>
    <t>Matthew Bender</t>
  </si>
  <si>
    <t>Flat Fee and Michie</t>
  </si>
  <si>
    <t>Opłata ryczałtowa i Michie</t>
  </si>
  <si>
    <t>固定费用和米奇</t>
  </si>
  <si>
    <t>定額料金とミチエ</t>
  </si>
  <si>
    <t>정액요금과 미치에</t>
  </si>
  <si>
    <t>Frais fixes et Michie</t>
  </si>
  <si>
    <t>Tarifa plana y Michie</t>
  </si>
  <si>
    <t>Pauschalgebühr und Michie</t>
  </si>
  <si>
    <t>Flat Fee and Matthew Bender</t>
  </si>
  <si>
    <t>Opłata ryczałtowa i Matthew Bender</t>
  </si>
  <si>
    <t>固定费用和马修·本德</t>
  </si>
  <si>
    <t>定額料金とマシューベンダー</t>
  </si>
  <si>
    <t>고정 요금 및 매튜 벤더</t>
  </si>
  <si>
    <t>Frais fixes et Matthew Bender</t>
  </si>
  <si>
    <t>Flat Fee y Matthew Bender</t>
  </si>
  <si>
    <t>Pauschalgebühr und Matthew Bender</t>
  </si>
  <si>
    <t>Royalty</t>
  </si>
  <si>
    <t>Rodzina królewska</t>
  </si>
  <si>
    <t>版税</t>
  </si>
  <si>
    <t>왕족</t>
  </si>
  <si>
    <t>Realeza</t>
  </si>
  <si>
    <t>Flat Fee and Royalty</t>
  </si>
  <si>
    <t>Opłata ryczałtowa i tantiemy</t>
  </si>
  <si>
    <t>固定费用和版税</t>
  </si>
  <si>
    <t>定額料金とロイヤリティ</t>
  </si>
  <si>
    <t>고정 요금 및 로열티</t>
  </si>
  <si>
    <t>Frais fixes et redevances</t>
  </si>
  <si>
    <t>Tarifa plana y regalías</t>
  </si>
  <si>
    <t>Pauschalgebühr und Lizenzgebühren</t>
  </si>
  <si>
    <t>FLAT FEE MICHIE STATEMENT</t>
  </si>
  <si>
    <t>Note: Two supplier ID's will be created - one for Flat Fee and another for Michie.</t>
  </si>
  <si>
    <t>Uwaga: Zostaną utworzone dwa identyfikatory dostawcy - jeden dla opłaty ryczałtowej, a drugi dla Michie.</t>
  </si>
  <si>
    <t>注意：将创建两个供应商 ID - 一个用于固定费用，另一个用于 Michie。</t>
  </si>
  <si>
    <t>注：2つのサプライヤーIDが作成されます。1つは定額料金用で、もう1つはMichie用です。</t>
  </si>
  <si>
    <t>참고: 고정 요금과 Michie에 대한 두 개의 공급업체 ID가 생성됩니다.</t>
  </si>
  <si>
    <t>Remarque : Deux ID de fournisseur seront créés : un pour les frais fixes et un autre pour Michie.</t>
  </si>
  <si>
    <t>Nota: Se crearán dos ID de proveedor: uno para tarifa plana y otro para Michie.</t>
  </si>
  <si>
    <t>Hinweis: Es werden zwei Lieferanten-IDs erstellt - eine für die Pauschalgebühr und eine für Michie.</t>
  </si>
  <si>
    <t>FLAT FEE MATTHEW BENDER STATEMENT</t>
  </si>
  <si>
    <t>Note: Two supplier ID's will be created - one for Flat Fee and another for Matthew Bender.</t>
  </si>
  <si>
    <t>Uwaga: Zostaną utworzone dwa identyfikatory dostawcy - jeden dla opłaty ryczałtowej, a drugi dla Matthew Bendera.</t>
  </si>
  <si>
    <t>注意：将创建两个供应商 ID - 一个用于固定费用，另一个用于 Matthew Bender。</t>
  </si>
  <si>
    <t>注：2つのサプライヤーIDが作成されます。1つは定額料金用、もう1つはマシューベンダー用です。</t>
  </si>
  <si>
    <t>참고: 고정 요금용과 Matthew Bender용으로 두 개의 공급업체 ID가 생성됩니다.</t>
  </si>
  <si>
    <t>Remarque : Deux ID de fournisseur seront créés : un pour les frais fixes et un autre pour Matthew Bender.</t>
  </si>
  <si>
    <t>Nota: Se crearán dos ID de proveedor: uno para tarifa plana y otro para Matthew Bender.</t>
  </si>
  <si>
    <t>Hinweis: Es werden zwei Lieferanten-IDs erstellt - eine für die Pauschalgebühr und eine für Matthew Bender.</t>
  </si>
  <si>
    <t>FLAT FEE ROYALTY STATEMENT</t>
  </si>
  <si>
    <t>Note: Two supplier ID's will be created - one for Flat Fee and another for Royalty.</t>
  </si>
  <si>
    <t>Uwaga: Zostaną utworzone dwa identyfikatory dostawcy - jeden dla opłaty ryczałtowej, a drugi dla Royalty.</t>
  </si>
  <si>
    <t>注意：将创建两个供应商 ID - 一个用于固定费用，另一个用于版税。</t>
  </si>
  <si>
    <t>注：2つのサプライヤーIDが作成されます。1つは定額料金用、もう1つはロイヤリティ用です。</t>
  </si>
  <si>
    <t>참고: 고정 요금과 로열티용으로 두 개의 공급업체 ID가 생성됩니다.</t>
  </si>
  <si>
    <t>Remarque : Deux ID de fournisseur seront créés : un pour les frais fixes et un autre pour les redevances.</t>
  </si>
  <si>
    <t>Nota: Se crearán dos ID de proveedor: uno para tarifa plana y otro para regalías.</t>
  </si>
  <si>
    <t>Hinweis: Es werden zwei Lieferanten-IDs erstellt - eine für die Pauschalgebühr und eine für die Lizenzgebühr.</t>
  </si>
  <si>
    <t>FLAT FEE QUESTION</t>
  </si>
  <si>
    <t>Is this a Flat Fee author?</t>
  </si>
  <si>
    <t>Czy to jest autor Flat Fee?</t>
  </si>
  <si>
    <t>这是固定费用作者吗？</t>
  </si>
  <si>
    <t>これは定額料金の著者ですか？</t>
  </si>
  <si>
    <t>정액 요금 작성자입니까?</t>
  </si>
  <si>
    <t>S'agit-il d'un auteur à tarif forfaitaire ?</t>
  </si>
  <si>
    <t>¿Es este un autor de tarifa plana?</t>
  </si>
  <si>
    <t>Ist das ein Flat-Fee-Autor?</t>
  </si>
  <si>
    <t>ROYALTY QUESTION</t>
  </si>
  <si>
    <t>Is this a Royalty author?</t>
  </si>
  <si>
    <t>Czy to jest autor tantiem?</t>
  </si>
  <si>
    <t>这是皇室作者吗？</t>
  </si>
  <si>
    <t>これはロイヤリティの作者ですか？</t>
  </si>
  <si>
    <t>이것은 로열티 작가입니까?</t>
  </si>
  <si>
    <t>Est-ce un auteur de redevance ?</t>
  </si>
  <si>
    <t>¿Es este un autor de derechos de autor?</t>
  </si>
  <si>
    <t>Ist das ein Royalty-Autor?</t>
  </si>
  <si>
    <t>MB OR MICHIE QUESTION</t>
  </si>
  <si>
    <t>Is this a Matthew Bender or a Michie?</t>
  </si>
  <si>
    <t>Czy to Matthew Bender czy Michie?</t>
  </si>
  <si>
    <t>这是马修班德还是米奇？</t>
  </si>
  <si>
    <t>これはマシューベンダーですか、それともミチエですか？</t>
  </si>
  <si>
    <t>이것은 매튜 벤더입니까 아니면 미치입니까?</t>
  </si>
  <si>
    <t>Est-ce un Matthew Bender ou un Michie ?</t>
  </si>
  <si>
    <t>¿Es este un Matthew Bender o un Michie?</t>
  </si>
  <si>
    <t>Ist das ein Matthew Bender oder ein Michie?</t>
  </si>
  <si>
    <t>MB MICHIE DROP DOWN</t>
  </si>
  <si>
    <t>Matthew Bender (Pub Number 0-9999)</t>
  </si>
  <si>
    <t>Matthew Bender (numer pubu 0-9999)</t>
  </si>
  <si>
    <t>马修班德（酒吧编号 0-9999）</t>
  </si>
  <si>
    <t>マシューベンダー（パブ番号0-9999）</t>
  </si>
  <si>
    <t>매튜 벤더(출판 번호 0-9999)</t>
  </si>
  <si>
    <t>Matthew Bender (numéro de pub 0-9999)</t>
  </si>
  <si>
    <t>Matthew Bender (Pub número 0-9999)</t>
  </si>
  <si>
    <t>Matthew Bender (Pub-Nummer 0-9999)</t>
  </si>
  <si>
    <t>Michie (Pub Number 10000 and up)</t>
  </si>
  <si>
    <t>Michie (numer pubu 10000 i wyżej)</t>
  </si>
  <si>
    <t>Michie（酒吧编号 10000 及以上）</t>
  </si>
  <si>
    <t>道江（居酒屋番号10000以上）</t>
  </si>
  <si>
    <t>미치에(펍 넘버 10000 이상)</t>
  </si>
  <si>
    <t>Michie (numéro de pub 10000 et plus)</t>
  </si>
  <si>
    <t>Michie (Pub número 10000 en adelante)</t>
  </si>
  <si>
    <t>Michie (Pub-Nummer 10000 und höher)</t>
  </si>
  <si>
    <t>CANADA ONLINE OR PRINT</t>
  </si>
  <si>
    <t>Is this Canada Online or Canada Print?</t>
  </si>
  <si>
    <t>Czy to Kanada Online czy Kanada Print?</t>
  </si>
  <si>
    <t>这是 Canada Online 还是 Canada Print？</t>
  </si>
  <si>
    <t>これはCanadaOnlineですか、それともCanada Printですか？</t>
  </si>
  <si>
    <t>이것은 Canada Online 또는 Canada Print입니까?</t>
  </si>
  <si>
    <t>Est-ce Canada en ligne ou Canada Print?</t>
  </si>
  <si>
    <t>¿Es esto Canada Online o Canada Print?</t>
  </si>
  <si>
    <t>Ist das Kanada Online oder Kanada Print?</t>
  </si>
  <si>
    <t>MSME CERTIFICATE STATEMENT</t>
  </si>
  <si>
    <t>MSME certificate is required. Please submit with your completed form.</t>
  </si>
  <si>
    <t>Wymagany jest certyfikat MSME. Prześlij wraz z wypełnionym formularzem.</t>
  </si>
  <si>
    <t>需要 MSME 证书。 请与您填写的表格一起提交。</t>
  </si>
  <si>
    <t>MSME証明書が必要です。 記入済みのフォームを添えて送信してください。</t>
  </si>
  <si>
    <t>MSME 인증서가 필요합니다. 작성한 양식과 함께 제출해 주십시오.</t>
  </si>
  <si>
    <t>Un certificat MSME est requis. Veuillez soumettre avec votre formulaire rempli.</t>
  </si>
  <si>
    <t>Se requiere certificado de MSME. Envíelo con su formulario completo.</t>
  </si>
  <si>
    <t>MSME-Zertifikat ist erforderlich. Bitte mit ausgefülltem Formular absenden.</t>
  </si>
  <si>
    <t>COMPANY OR INDIVIDUAL</t>
  </si>
  <si>
    <t>Company</t>
  </si>
  <si>
    <t>公司</t>
  </si>
  <si>
    <t>会社</t>
  </si>
  <si>
    <t>회사</t>
  </si>
  <si>
    <t>Compagnie</t>
  </si>
  <si>
    <t>Compañía</t>
  </si>
  <si>
    <t>Gesellschaft</t>
  </si>
  <si>
    <t>Individual</t>
  </si>
  <si>
    <t>Indywidualny</t>
  </si>
  <si>
    <t>个人</t>
  </si>
  <si>
    <t>個人</t>
  </si>
  <si>
    <t>개인</t>
  </si>
  <si>
    <t>Individuel/Individuelle</t>
  </si>
  <si>
    <t>Individuell</t>
  </si>
  <si>
    <t>TAX REGISTRATION NUMBER</t>
  </si>
  <si>
    <t>Registration Number (Required)</t>
  </si>
  <si>
    <t>Numer rejestracyjny (wymagany)</t>
  </si>
  <si>
    <t>注册号（必填）</t>
  </si>
  <si>
    <t>登録番号 (必須)</t>
  </si>
  <si>
    <t>등록번호 (필수)</t>
  </si>
  <si>
    <t>Numéro d'enregistrement (obligatoire)</t>
  </si>
  <si>
    <t>Número de registro (obligatorio)</t>
  </si>
  <si>
    <t>Registrierungsnummer (erforderlich)</t>
  </si>
  <si>
    <t>USER ACCOUNT EMAIL</t>
  </si>
  <si>
    <t>User Account Email Address</t>
  </si>
  <si>
    <t>Adres e-mail konta użytkownika</t>
  </si>
  <si>
    <t>用户帐户电子邮件地址</t>
  </si>
  <si>
    <t>ユーザーアカウントのメールアドレス</t>
  </si>
  <si>
    <t>사용자 계정 이메일 주소</t>
  </si>
  <si>
    <t>Adresse e-mail du compte utilisateur</t>
  </si>
  <si>
    <t>Dirección de correo electrónico de la cuenta de usuario</t>
  </si>
  <si>
    <t>E-Mail-Adresse des Benutzerkontos</t>
  </si>
  <si>
    <t>USER ACCOUNT EMAIL STATEMENT</t>
  </si>
  <si>
    <t>(Will be given access to setup supplier profile and bank information in the supplier portal - when available.)</t>
  </si>
  <si>
    <t>(Otrzymasz dostęp do konfiguracji profilu dostawcy i informacji bankowych w portalu dostawcy – gdy będzie dostępny.)</t>
  </si>
  <si>
    <t>（将有权在供应商门户中设置供应商资料和银行信息 - 当可用时。）</t>
  </si>
  <si>
    <t>(利用可能な場合は、サプライヤー ポータルでサプライヤー プロファイルと銀行情報を設定するためのアクセス権が付与されます。)</t>
  </si>
  <si>
    <t>(공급업체 포털에서 공급업체 프로필 및 은행 정보를 설정할 수 있는 권한이 부여됩니다.)</t>
  </si>
  <si>
    <t>(Vous aurez accès à la configuration du profil du fournisseur et aux informations bancaires dans le portail des fournisseurs - lorsqu'elles seront disponibles.)</t>
  </si>
  <si>
    <t>(Se dará acceso para configurar el perfil del proveedor y la información bancaria en el portal de proveedores, cuando esté disponible).</t>
  </si>
  <si>
    <t>(Erhält Zugriff zum Einrichten des Lieferantenprofils und der Bankinformationen im Lieferantenportal – sofern verfügbar.)</t>
  </si>
  <si>
    <t>DUE DILIGENCE QUESTIONNAIRE</t>
  </si>
  <si>
    <t>Estimated annual spend with supplier (USD):</t>
  </si>
  <si>
    <t>Szacowane roczne wydatki u dostawcy (USD):</t>
  </si>
  <si>
    <t>预计每年与供应商的支出（美元）：</t>
  </si>
  <si>
    <t>サプライヤーへの年間推定支出額（米ドル）:</t>
  </si>
  <si>
    <t>공급업체와의 연간 예상 지출액(USD):</t>
  </si>
  <si>
    <t>Dépenses annuelles estimées auprès du fournisseur (USD) :</t>
  </si>
  <si>
    <t>Gasto anual estimado con proveedor (USD):</t>
  </si>
  <si>
    <t>Geschätzte jährliche Ausgaben beim Lieferanten (USD):</t>
  </si>
  <si>
    <t>Do you believe this supplier is or will soon become one of the topmost 1% of critical suppliers from a business resiliency perspective for your RELX Business Area (RELX Corp, Elsevier, LNLP, Risk, or RX)?</t>
  </si>
  <si>
    <t>Czy uważasz, że ten dostawca jest lub wkrótce stanie się jednym z 1% najważniejszych dostawców z perspektywy odporności biznesowej dla Twojego obszaru biznesowego RELX (RELX Corp, Elsevier, LNLP, Risk lub RX)?</t>
  </si>
  <si>
    <t>您是否认为从业务弹性角度来看，该供应商是或即将成为您所在 RELX 业务领域（RELX Corp、Elsevier、LNLP、Risk 或 RX）最关键的 1% 供应商之一？</t>
  </si>
  <si>
    <t>このサプライヤーは、RELX ビジネス エリア (RELX Corp、Elsevier、LNLP、Risk、または RX) のビジネス回復力の観点から、重要なサプライヤーの上位 1% に入っている、またはすぐに入ると思われますか?</t>
  </si>
  <si>
    <t>귀사는 이 공급업체가 RELX 사업 영역(RELX Corp, Elsevier, LNLP, Risk 또는 RX)의 비즈니스 회복성 관점에서 상위 1%의 필수 공급업체에 속하거나 곧 속할 것이라고 생각하십니까?</t>
  </si>
  <si>
    <t>Pensez-vous que ce fournisseur est ou deviendra bientôt l'un des 1 % des fournisseurs critiques du point de vue de la résilience commerciale pour votre secteur d'activité RELX (RELX Corp, Elsevier, LNLP, Risk ou RX) ?</t>
  </si>
  <si>
    <t>¿Cree que este proveedor es o pronto se convertirá en uno de los 1% más importantes de proveedores críticos desde una perspectiva de resiliencia empresarial para su área comercial RELX (RELX Corp, Elsevier, LNLP, Risk o RX)?</t>
  </si>
  <si>
    <t>Glauben Sie, dass dieser Lieferant aus Sicht der Geschäftsstabilität für Ihren RELX-Geschäftsbereich (RELX Corp, Elsevier, LNLP, Risk oder RX) zu den 1 % wichtigsten Lieferanten gehört oder bald dazugehören wird?</t>
  </si>
  <si>
    <t>Will initial term with supplier be one year or less?</t>
  </si>
  <si>
    <t>Czy początkowy okres obowiązywania umowy z dostawcą będzie wynosił rok czy krócej?</t>
  </si>
  <si>
    <t>与供应商的初始期限是否为一年或更短？</t>
  </si>
  <si>
    <t>サプライヤーとの最初の契約期間は 1 年以下でしょうか?</t>
  </si>
  <si>
    <t>공급업체와의 초기 계약 기간은 1년 이하입니까?</t>
  </si>
  <si>
    <t>La durée initiale du contrat avec le fournisseur sera-t-elle d’un an ou moins ?</t>
  </si>
  <si>
    <t>¿El plazo inicial con el proveedor será de un año o menos?</t>
  </si>
  <si>
    <t>Beträgt die anfängliche Laufzeit beim Lieferanten ein Jahr oder weniger?</t>
  </si>
  <si>
    <t>Is a contract on file with this supplier?</t>
  </si>
  <si>
    <t>Czy z tym dostawcą jest zawarta umowa?</t>
  </si>
  <si>
    <t>是否与该供应商签订了合同？</t>
  </si>
  <si>
    <t>このサプライヤーとの契約書は提出されていますか?</t>
  </si>
  <si>
    <t>이 공급업체와 계약이 체결되어 있나요?</t>
  </si>
  <si>
    <t>Un contrat est-il enregistré auprès de ce fournisseur ?</t>
  </si>
  <si>
    <t>¿Hay un contrato registrado con este proveedor?</t>
  </si>
  <si>
    <t>Liegt mit diesem Lieferanten ein Vertrag vor?</t>
  </si>
  <si>
    <t>In Progress</t>
  </si>
  <si>
    <t>W toku</t>
  </si>
  <si>
    <t>进行中</t>
  </si>
  <si>
    <t>進行中</t>
  </si>
  <si>
    <t>진행 중</t>
  </si>
  <si>
    <t>En cours</t>
  </si>
  <si>
    <t>En curso</t>
  </si>
  <si>
    <t>Im Gange</t>
  </si>
  <si>
    <t>PROCUREMENT BU</t>
  </si>
  <si>
    <t>Procurement BU</t>
  </si>
  <si>
    <t>Dział zaopatrzenia</t>
  </si>
  <si>
    <t>采购事业部</t>
  </si>
  <si>
    <t>調達BU</t>
  </si>
  <si>
    <t>조달 BU</t>
  </si>
  <si>
    <t>BU Achats</t>
  </si>
  <si>
    <t>Unidad de negocio de adquisiciones</t>
  </si>
  <si>
    <t>BU Beschaffung</t>
  </si>
  <si>
    <t>ORGANIZATION TYPE</t>
  </si>
  <si>
    <t>Organization Type</t>
  </si>
  <si>
    <t>Typ organizacji</t>
  </si>
  <si>
    <t>组织类型</t>
  </si>
  <si>
    <t>組織の種類</t>
  </si>
  <si>
    <t>조직 유형</t>
  </si>
  <si>
    <t>Type d'organisation</t>
  </si>
  <si>
    <t>Tipo de organización</t>
  </si>
  <si>
    <t>Organisationstyp</t>
  </si>
  <si>
    <t>Corporation</t>
  </si>
  <si>
    <t>Korporacja</t>
  </si>
  <si>
    <t>株式会社</t>
  </si>
  <si>
    <t>법인</t>
  </si>
  <si>
    <t>Corporación</t>
  </si>
  <si>
    <t>Foreign Corporation</t>
  </si>
  <si>
    <t>Korporacja zagraniczna</t>
  </si>
  <si>
    <t>外国公司</t>
  </si>
  <si>
    <t>外国法人</t>
  </si>
  <si>
    <t>외국법인</t>
  </si>
  <si>
    <t>Société étrangère</t>
  </si>
  <si>
    <t>Corporación extranjera</t>
  </si>
  <si>
    <t>Ausländische Gesellschaft</t>
  </si>
  <si>
    <t>Foreign Government Agency</t>
  </si>
  <si>
    <t>Agencja Rządu Zagranicznego</t>
  </si>
  <si>
    <t>外国政府机构</t>
  </si>
  <si>
    <t>外国政府機関</t>
  </si>
  <si>
    <t>외국 정부 기관</t>
  </si>
  <si>
    <t>Agence gouvernementale étrangère</t>
  </si>
  <si>
    <t>Agencia de Gobierno Extranjero</t>
  </si>
  <si>
    <t>Ausländische Regierungsagentur</t>
  </si>
  <si>
    <t>Foreign Individual</t>
  </si>
  <si>
    <t>Osoba zagraniczna</t>
  </si>
  <si>
    <t>外国个人</t>
  </si>
  <si>
    <t>外国人個人</t>
  </si>
  <si>
    <t>외국인 개인</t>
  </si>
  <si>
    <t>Particulier étranger</t>
  </si>
  <si>
    <t>Persona física extranjera</t>
  </si>
  <si>
    <t>Ausländische Privatperson</t>
  </si>
  <si>
    <t>Foreign Partnership</t>
  </si>
  <si>
    <t>Partnerstwo zagraniczne</t>
  </si>
  <si>
    <t>外国伙伴关系</t>
  </si>
  <si>
    <t>外国とのパートナーシップ</t>
  </si>
  <si>
    <t>외국 파트너십</t>
  </si>
  <si>
    <t>Partenariat étranger</t>
  </si>
  <si>
    <t>Asociación extranjera</t>
  </si>
  <si>
    <t>Ausländische Partnerschaft</t>
  </si>
  <si>
    <t>Government Agency</t>
  </si>
  <si>
    <t>Agencja rządowa</t>
  </si>
  <si>
    <t>政府机构</t>
  </si>
  <si>
    <t>政府機関</t>
  </si>
  <si>
    <t>정부 기관</t>
  </si>
  <si>
    <t>Agence gouvernementale</t>
  </si>
  <si>
    <t>Agencia Gubernamental</t>
  </si>
  <si>
    <t>Regierungsbehörde</t>
  </si>
  <si>
    <t>Individuel</t>
  </si>
  <si>
    <t>Person</t>
  </si>
  <si>
    <t>Partnership</t>
  </si>
  <si>
    <t>Współpraca</t>
  </si>
  <si>
    <t>合伙</t>
  </si>
  <si>
    <t>パートナーシップ</t>
  </si>
  <si>
    <t>공동</t>
  </si>
  <si>
    <t>Partenariat</t>
  </si>
  <si>
    <t>Asociación</t>
  </si>
  <si>
    <t>Partnerschaft</t>
  </si>
  <si>
    <t>BUSINESS CLASSIFICATION</t>
  </si>
  <si>
    <t>Business Classification</t>
  </si>
  <si>
    <t>Klasyfikacja działalności gospodarczej</t>
  </si>
  <si>
    <t>业务分类</t>
  </si>
  <si>
    <t>事業分類</t>
  </si>
  <si>
    <t>사업 분류</t>
  </si>
  <si>
    <t>Classification des entreprises</t>
  </si>
  <si>
    <t>Clasificación de empresas</t>
  </si>
  <si>
    <t>Geschäftsklassifizierung</t>
  </si>
  <si>
    <t>8A - 8A</t>
  </si>
  <si>
    <t>Broad Based Black Economic Empowerment</t>
  </si>
  <si>
    <t>Szerokie wzmocnienie ekonomiczne ludności czarnoskórej</t>
  </si>
  <si>
    <t>广泛的黑人经济赋权</t>
  </si>
  <si>
    <t>幅広い黒人の経済的エンパワーメント</t>
  </si>
  <si>
    <t>광범위한 흑인 경제적 권한 부여</t>
  </si>
  <si>
    <t>Autonomisation économique des Noirs à grande échelle</t>
  </si>
  <si>
    <t>Empoderamiento económico negro de base amplia</t>
  </si>
  <si>
    <t>Breites wirtschaftliches Empowerment der Schwarzen</t>
  </si>
  <si>
    <t>HUB Zone</t>
  </si>
  <si>
    <t>Strefa HUB</t>
  </si>
  <si>
    <t>HUB 区</t>
  </si>
  <si>
    <t>ハブゾーン</t>
  </si>
  <si>
    <t>허브 존</t>
  </si>
  <si>
    <t>Zone HUB</t>
  </si>
  <si>
    <t>Zona HUB</t>
  </si>
  <si>
    <t>HUB-Zone</t>
  </si>
  <si>
    <t>LGBT+ - LGBTBE</t>
  </si>
  <si>
    <t>Micro Small Medium Enterprise</t>
  </si>
  <si>
    <t>Mikro Małe Średnie Przedsiębiorstwo</t>
  </si>
  <si>
    <t>微型、小型、中型企业</t>
  </si>
  <si>
    <t>中小企業</t>
  </si>
  <si>
    <t>초소규모 중견기업</t>
  </si>
  <si>
    <t>Micro Petite Moyenne Entreprise</t>
  </si>
  <si>
    <t>Micro Pequeña Mediana Empresa</t>
  </si>
  <si>
    <t>Kleinstunternehmen, Klein- und Mittelunternehmen</t>
  </si>
  <si>
    <t>Minority Owned</t>
  </si>
  <si>
    <t>Własność mniejszości</t>
  </si>
  <si>
    <t>少数族裔所有</t>
  </si>
  <si>
    <t>少数民族所有</t>
  </si>
  <si>
    <t>소수자 소유</t>
  </si>
  <si>
    <t>Propriété minoritaire</t>
  </si>
  <si>
    <t>Propiedad de minorías</t>
  </si>
  <si>
    <t>Minderheitsbesitz</t>
  </si>
  <si>
    <t>Service-Disabled Veteran Owned</t>
  </si>
  <si>
    <t>Własność weterana wojennego</t>
  </si>
  <si>
    <t>伤残退伍军人所有</t>
  </si>
  <si>
    <t>障害を持つ退役軍人所有</t>
  </si>
  <si>
    <t>장애가 있는 재향군인 소유</t>
  </si>
  <si>
    <t>Propriété d'anciens combattants handicapés</t>
  </si>
  <si>
    <t>Propiedad de veteranos discapacitados en servicio</t>
  </si>
  <si>
    <t>Im Besitz eines kriegsversehrten Veteranen</t>
  </si>
  <si>
    <t>Service-Disabled Veterans</t>
  </si>
  <si>
    <t>Weterani niepełnosprawni</t>
  </si>
  <si>
    <t>伤残退伍军人</t>
  </si>
  <si>
    <t>障害を負った退役軍人</t>
  </si>
  <si>
    <t>장애가 있는 재향군인</t>
  </si>
  <si>
    <t>Anciens combattants handicapés</t>
  </si>
  <si>
    <t>Veteranos discapacitados en el servicio</t>
  </si>
  <si>
    <t>Kriegsversehrte Veteranen</t>
  </si>
  <si>
    <t>Small Business</t>
  </si>
  <si>
    <t>Małe firmy</t>
  </si>
  <si>
    <t>小型企业</t>
  </si>
  <si>
    <t>중소기업</t>
  </si>
  <si>
    <t>Petites entreprises</t>
  </si>
  <si>
    <t>Pequeña empresa</t>
  </si>
  <si>
    <t>Kleine Unternehmen</t>
  </si>
  <si>
    <t>Veteran Owned</t>
  </si>
  <si>
    <t>Własność weterana</t>
  </si>
  <si>
    <t>退伍军人所有</t>
  </si>
  <si>
    <t>退役軍人所有</t>
  </si>
  <si>
    <t>재향군인 소유</t>
  </si>
  <si>
    <t>Propriété d'anciens combattants</t>
  </si>
  <si>
    <t>Propiedad de veteranos</t>
  </si>
  <si>
    <t>Im Besitz eines Veteranen</t>
  </si>
  <si>
    <t>Woman Owned</t>
  </si>
  <si>
    <t>Własność kobiety</t>
  </si>
  <si>
    <t>女性拥有</t>
  </si>
  <si>
    <t>女性経営</t>
  </si>
  <si>
    <t>여성 소유</t>
  </si>
  <si>
    <t>Propriété d'une femme</t>
  </si>
  <si>
    <t>Propiedad de una mujer</t>
  </si>
  <si>
    <t>Im Besitz einer Frau</t>
  </si>
  <si>
    <t>PRODUCTS AND SERVICES</t>
  </si>
  <si>
    <t>Products and Services:</t>
  </si>
  <si>
    <t>Produkty i usługi:</t>
  </si>
  <si>
    <t>产品和服务：</t>
  </si>
  <si>
    <t>製品とサービス:</t>
  </si>
  <si>
    <t>제품 및 서비스:</t>
  </si>
  <si>
    <t>Produits et services :</t>
  </si>
  <si>
    <t>Productos y Servicios:</t>
  </si>
  <si>
    <t>Produkte und Dienstleistungen:</t>
  </si>
  <si>
    <t>Cloud</t>
  </si>
  <si>
    <t>Chmura</t>
  </si>
  <si>
    <t>云</t>
  </si>
  <si>
    <t>雲</t>
  </si>
  <si>
    <t>구름</t>
  </si>
  <si>
    <t>Nuage</t>
  </si>
  <si>
    <t>Nube</t>
  </si>
  <si>
    <t>Wolke</t>
  </si>
  <si>
    <t>Consulting</t>
  </si>
  <si>
    <t>Ordynacyjny</t>
  </si>
  <si>
    <t>咨询</t>
  </si>
  <si>
    <t>コンサルティング</t>
  </si>
  <si>
    <t>컨설팅</t>
  </si>
  <si>
    <t>Consultant</t>
  </si>
  <si>
    <t>Consultante</t>
  </si>
  <si>
    <t>Beratung</t>
  </si>
  <si>
    <t>Content</t>
  </si>
  <si>
    <t>Treść</t>
  </si>
  <si>
    <t>内容</t>
  </si>
  <si>
    <t>コンテンツ</t>
  </si>
  <si>
    <t>콘텐츠</t>
  </si>
  <si>
    <t>Contenu</t>
  </si>
  <si>
    <t>Contenido</t>
  </si>
  <si>
    <t>Inhalt</t>
  </si>
  <si>
    <t>Digital Marketing Software</t>
  </si>
  <si>
    <t>Oprogramowanie do marketingu cyfrowego</t>
  </si>
  <si>
    <t>数字营销软件</t>
  </si>
  <si>
    <t>デジタルマーケティングソフトウェア</t>
  </si>
  <si>
    <t>디지털 마케팅 소프트웨어</t>
  </si>
  <si>
    <t>Logiciel de marketing numérique</t>
  </si>
  <si>
    <t>Software de marketing digital</t>
  </si>
  <si>
    <t>Digitale Marketingsoftware</t>
  </si>
  <si>
    <t>Distribution</t>
  </si>
  <si>
    <t>Dystrybucja</t>
  </si>
  <si>
    <t>分配</t>
  </si>
  <si>
    <t>分布</t>
  </si>
  <si>
    <t>분포</t>
  </si>
  <si>
    <t>Distribución</t>
  </si>
  <si>
    <t>Verteilung</t>
  </si>
  <si>
    <t>Editorial, Production &amp; Operation Services</t>
  </si>
  <si>
    <t>Usługi redakcyjne, produkcyjne i operacyjne</t>
  </si>
  <si>
    <t>编辑、制作和运营服务</t>
  </si>
  <si>
    <t>編集・制作・運営サービス</t>
  </si>
  <si>
    <t>편집, 제작 및 운영 서비스</t>
  </si>
  <si>
    <t>Services éditoriaux, de production et d'exploitation</t>
  </si>
  <si>
    <t>Servicios editoriales, de producción y de operaciones</t>
  </si>
  <si>
    <t>Redaktions-, Produktions- und Betriebsdienste</t>
  </si>
  <si>
    <t>Facilities &amp; Property Services</t>
  </si>
  <si>
    <t>Usługi dla obiektów i nieruchomości</t>
  </si>
  <si>
    <t>设施与物业服务</t>
  </si>
  <si>
    <t>施設と不動産サービス</t>
  </si>
  <si>
    <t>시설 및 부동산 서비스</t>
  </si>
  <si>
    <t>Installations et services immobiliers</t>
  </si>
  <si>
    <t>Instalaciones y servicios de propiedad</t>
  </si>
  <si>
    <t>Einrichtungen und Immobilienservices</t>
  </si>
  <si>
    <t>HR Services</t>
  </si>
  <si>
    <t>Usługi HR</t>
  </si>
  <si>
    <t>人力资源服务</t>
  </si>
  <si>
    <t>人事サービス</t>
  </si>
  <si>
    <t>인사 서비스</t>
  </si>
  <si>
    <t>Services RH</t>
  </si>
  <si>
    <t>Servicios de RRHH</t>
  </si>
  <si>
    <t>Personaldienstleistungen</t>
  </si>
  <si>
    <t>Marketing</t>
  </si>
  <si>
    <t>营销</t>
  </si>
  <si>
    <t>マーケティング</t>
  </si>
  <si>
    <t>마케팅</t>
  </si>
  <si>
    <t>Commercialisation</t>
  </si>
  <si>
    <t>Mobile</t>
  </si>
  <si>
    <t>Przenośny</t>
  </si>
  <si>
    <t>移动的</t>
  </si>
  <si>
    <t>携帯</t>
  </si>
  <si>
    <t>이동하는</t>
  </si>
  <si>
    <t>Móvil</t>
  </si>
  <si>
    <t>Printing &amp; Paper</t>
  </si>
  <si>
    <t>Druk i papier</t>
  </si>
  <si>
    <t>印刷与造纸</t>
  </si>
  <si>
    <t>印刷・紙</t>
  </si>
  <si>
    <t>인쇄 및 종이</t>
  </si>
  <si>
    <t>Impression et papier</t>
  </si>
  <si>
    <t>Impresión y papel</t>
  </si>
  <si>
    <t>Druck &amp; Papier</t>
  </si>
  <si>
    <t>Professional Services</t>
  </si>
  <si>
    <t>Usługi profesjonalne</t>
  </si>
  <si>
    <t>专业服务</t>
  </si>
  <si>
    <t>プロフェッショナルサービス</t>
  </si>
  <si>
    <t>전문 서비스</t>
  </si>
  <si>
    <t>Services professionnels</t>
  </si>
  <si>
    <t>Servicios profesionales</t>
  </si>
  <si>
    <t>Professionelle Dienstleistungen</t>
  </si>
  <si>
    <t>Software</t>
  </si>
  <si>
    <t>Oprogramowanie</t>
  </si>
  <si>
    <t>软件</t>
  </si>
  <si>
    <t>ソフトウェア</t>
  </si>
  <si>
    <t>소프트웨어</t>
  </si>
  <si>
    <t>Logiciel</t>
  </si>
  <si>
    <t>Technology Hardware</t>
  </si>
  <si>
    <t>Sprzęt technologiczny</t>
  </si>
  <si>
    <t>技术硬件</t>
  </si>
  <si>
    <t>テクノロジーハードウェア</t>
  </si>
  <si>
    <t>기술 하드웨어</t>
  </si>
  <si>
    <t>Matériel technologique</t>
  </si>
  <si>
    <t>Tecnología de hardware</t>
  </si>
  <si>
    <t>Technologie-Hardware</t>
  </si>
  <si>
    <t>Technology ReSellers</t>
  </si>
  <si>
    <t>Sprzedawcy technologii</t>
  </si>
  <si>
    <t>技术经销商</t>
  </si>
  <si>
    <t>テクノロジー再販業者</t>
  </si>
  <si>
    <t>기술 리셀러</t>
  </si>
  <si>
    <t>Revendeurs de technologie</t>
  </si>
  <si>
    <t>Distribuidores de tecnología</t>
  </si>
  <si>
    <t>Technologie-Wiederverkäufer</t>
  </si>
  <si>
    <t>Technology Services</t>
  </si>
  <si>
    <t>Usługi technologiczne</t>
  </si>
  <si>
    <t>技术服务</t>
  </si>
  <si>
    <t>テクノロジーサービス</t>
  </si>
  <si>
    <t>기술 서비스</t>
  </si>
  <si>
    <t>Services technologiques</t>
  </si>
  <si>
    <t>Servicios de tecnología</t>
  </si>
  <si>
    <t>Technologiedienstleistungen</t>
  </si>
  <si>
    <t>Telecom &amp; Network</t>
  </si>
  <si>
    <t>Telekomunikacja i sieć</t>
  </si>
  <si>
    <t>电信和网络</t>
  </si>
  <si>
    <t>通信・ネットワーク</t>
  </si>
  <si>
    <t>통신 및 네트워크</t>
  </si>
  <si>
    <t>Télécoms et réseaux</t>
  </si>
  <si>
    <t>Telecomunicaciones y redes</t>
  </si>
  <si>
    <t>Telekommunikation &amp; Netzwerk</t>
  </si>
  <si>
    <t>Travel, Meetings &amp; Exhibitions</t>
  </si>
  <si>
    <t>Podróże, spotkania i wystawy</t>
  </si>
  <si>
    <t>旅游、会议及展览</t>
  </si>
  <si>
    <t>旅行、会議、展示会</t>
  </si>
  <si>
    <t>여행, 회의 및 전시회</t>
  </si>
  <si>
    <t>Voyages, réunions et expositions</t>
  </si>
  <si>
    <t>Viajes, reuniones y exposiciones</t>
  </si>
  <si>
    <t>Reisen, Tagungen &amp; Ausstellungen</t>
  </si>
  <si>
    <t>Workforce Services</t>
  </si>
  <si>
    <t>Usługi pracownicze</t>
  </si>
  <si>
    <t>劳动力服务</t>
  </si>
  <si>
    <t>労働力サービス</t>
  </si>
  <si>
    <t>인력 서비스</t>
  </si>
  <si>
    <t>Services de main-d'œuvre</t>
  </si>
  <si>
    <t>Servicios de fuerza laboral</t>
  </si>
  <si>
    <t>Infrastructure and Platform services provided by Cloud Providers (IaaS, PaaS)</t>
  </si>
  <si>
    <t>Usługi infrastrukturalne i platformowe świadczone przez dostawców chmury (IaaS, PaaS)</t>
  </si>
  <si>
    <t>云提供商提供的基础设施和平台服务（IaaS、PaaS）</t>
  </si>
  <si>
    <t>クラウドプロバイダーが提供するインフラストラクチャおよびプラットフォームサービス（IaaS、PaaS）</t>
  </si>
  <si>
    <t>클라우드 제공업체(IaaS, PaaS)가 제공하는 인프라 및 플랫폼 서비스</t>
  </si>
  <si>
    <t>Services d'infrastructure et de plateforme fournis par les fournisseurs de cloud (IaaS, PaaS)</t>
  </si>
  <si>
    <t>Servicios de infraestructura y plataforma proporcionados por proveedores de nube (IaaS, PaaS)</t>
  </si>
  <si>
    <t>Von Cloud-Anbietern bereitgestellte Infrastruktur- und Plattformdienste (IaaS, PaaS)</t>
  </si>
  <si>
    <t>Management consulting, advisory services</t>
  </si>
  <si>
    <t>Doradztwo zarządcze, usługi doradcze</t>
  </si>
  <si>
    <t>管理咨询、顾问服务</t>
  </si>
  <si>
    <t>経営コンサルティング、アドバイザリーサービス</t>
  </si>
  <si>
    <t>경영 컨설팅, 자문 서비스</t>
  </si>
  <si>
    <t>Conseil en gestion, services de conseil</t>
  </si>
  <si>
    <t>Consultoría de gestión, servicios de asesoría</t>
  </si>
  <si>
    <t>Unternehmensberatung, Beratungsleistungen</t>
  </si>
  <si>
    <t>Acquisition, purchasing, or licensing of data or content</t>
  </si>
  <si>
    <t>Nabywanie, zakup lub licencjonowanie danych lub treści</t>
  </si>
  <si>
    <t>数据或内容的获取、购买或许可</t>
  </si>
  <si>
    <t>データまたはコンテンツの取得、購入、またはライセンス</t>
  </si>
  <si>
    <t>데이터 또는 콘텐츠의 취득, 구매 또는 라이선싱</t>
  </si>
  <si>
    <t>Acquisition, achat ou licence de données ou de contenu</t>
  </si>
  <si>
    <t>Adquisición, compra o licencia de datos o contenidos</t>
  </si>
  <si>
    <t>Erwerb, Kauf oder Lizenzierung von Daten oder Inhalten</t>
  </si>
  <si>
    <t>Software that is primarily used for Marketing Services</t>
  </si>
  <si>
    <t>Oprogramowanie wykorzystywane głównie w usługach marketingowych</t>
  </si>
  <si>
    <t>主要用于营销服务的软件</t>
  </si>
  <si>
    <t>主にマーケティングサービスに使用されるソフトウェア</t>
  </si>
  <si>
    <t>주로 마케팅 서비스에 사용되는 소프트웨어</t>
  </si>
  <si>
    <t>Logiciel principalement utilisé pour les services marketing</t>
  </si>
  <si>
    <t>Software que se utiliza principalmente para servicios de marketing</t>
  </si>
  <si>
    <t>Software, die hauptsächlich für Marketing-Services verwendet wird</t>
  </si>
  <si>
    <t>Courier, postage, shipping, freight, logistics, fulfillment and warehousing</t>
  </si>
  <si>
    <t>Kurier, usługi pocztowe, wysyłka, fracht, logistyka, realizacja i magazynowanie</t>
  </si>
  <si>
    <t>快递、邮资、航运、货运、物流、履行和仓储</t>
  </si>
  <si>
    <t>宅配便、郵便、配送、貨物、物流、フルフィルメント、倉庫保管</t>
  </si>
  <si>
    <t>택배, 우편, 배송, 화물, 물류, 이행 및 창고</t>
  </si>
  <si>
    <t>Courrier, affranchissement, expédition, fret, logistique, exécution et entreposage</t>
  </si>
  <si>
    <t>Mensajería, franqueo, envío, flete, logística, cumplimiento y almacenamiento.</t>
  </si>
  <si>
    <t>Kurierdienst, Porto, Versand, Fracht, Logistik, Fulfillment und Lagerhaltung</t>
  </si>
  <si>
    <t>Data or content transformation, excerption, web scraping, conversion, typesetting, copy-editing, proof-reading, and customer services</t>
  </si>
  <si>
    <t>Transformacja danych lub treści, wyodrębnianie, scrapowanie stron internetowych, konwersja, skład tekstu, redakcja tekstów, korekta i obsługa klienta</t>
  </si>
  <si>
    <t>数据或内容转换、摘录、网页抓取、转换、排版、文案编辑、校对和客户服务</t>
  </si>
  <si>
    <t>データまたはコンテンツの変換、抜粋、ウェブスクレイピング、変換、タイプセッティング、コピー編集、校正、および顧客サービス</t>
  </si>
  <si>
    <t>데이터 또는 콘텐츠 변환, 발췌, 웹 스크래핑, 변환, 조판, 사본 편집, 교정 및 고객 서비스</t>
  </si>
  <si>
    <t>Transformation de données ou de contenu, extraction, web scraping, conversion, composition, révision, relecture et service client</t>
  </si>
  <si>
    <t>Transformación de datos o contenido, extracción, extracción de datos web, conversión, composición tipográfica, edición de textos, corrección de pruebas y atención al cliente.</t>
  </si>
  <si>
    <t>Daten- oder Inhaltstransformation, Exzerption, Web Scraping, Konvertierung, Satz, Lektorat, Korrekturlesen und Kundendienst</t>
  </si>
  <si>
    <t>Office Refurbishment, Cleaning, Facilities Mgmt.</t>
  </si>
  <si>
    <t>Remont biur, sprzątanie, zarządzanie obiektami.</t>
  </si>
  <si>
    <t>办公室翻新、清洁、设施管理。</t>
  </si>
  <si>
    <t>オフィス改装、清掃、設備管理。</t>
  </si>
  <si>
    <t>사무실 리모델링, 청소, 시설 관리</t>
  </si>
  <si>
    <t>Rénovation de bureaux, nettoyage, gestion des installations</t>
  </si>
  <si>
    <t>Reforma de oficinas, limpieza, gestión de instalaciones.</t>
  </si>
  <si>
    <t>Bürorenovierung, Reinigung, Gebäudemanagement.</t>
  </si>
  <si>
    <t>Employee Benefits/Programs, Training</t>
  </si>
  <si>
    <t>Świadczenia/programy pracownicze, szkolenia</t>
  </si>
  <si>
    <t>员工福利/计划、培训</t>
  </si>
  <si>
    <t>従業員福利厚生・プログラム、研修</t>
  </si>
  <si>
    <t>직원 복리후생/프로그램, 교육</t>
  </si>
  <si>
    <t>Avantages sociaux et programmes pour les employés, formation</t>
  </si>
  <si>
    <t>Beneficios/programas para empleados, capacitación</t>
  </si>
  <si>
    <t>Mitarbeitervorteile/-programme, Schulungen</t>
  </si>
  <si>
    <t>Advertising, Agencies/Design, Copyright/Translation, Market Research, Promo Materials, PR, Telemarketing</t>
  </si>
  <si>
    <t>Reklama, Agencje/Projektowanie, Prawa autorskie/Tłumaczenia, Badania rynku, Materiały promocyjne, PR, Telemarketing</t>
  </si>
  <si>
    <t>广告、代理/设计、版权/翻译、市场调研、宣传材料、公关、电话营销</t>
  </si>
  <si>
    <t>広告、代理店・デザイン、著作権・翻訳、市場調査、販促資料、広報、テレマーケティング</t>
  </si>
  <si>
    <t>광고, 에이전시/디자인, 저작권/번역, 시장조사, 홍보자료, 홍보, 텔레마케팅</t>
  </si>
  <si>
    <t>Publicité, Agences/Conception, Droits d'auteur/Traduction, Études de marché, Supports promotionnels, Relations publiques, Télémarketing</t>
  </si>
  <si>
    <t>Publicidad, Agencias/Diseño, Derechos de autor/Traducción, Investigación de mercado, Materiales promocionales, Relaciones públicas, Telemarketing</t>
  </si>
  <si>
    <t>Werbung, Agenturen/Design, Urheberrecht/Übersetzung, Marktforschung, Werbematerialien, PR, Telemarketing</t>
  </si>
  <si>
    <t>Smartphones / mobile devices</t>
  </si>
  <si>
    <t>Smartfony / urządzenia mobilne</t>
  </si>
  <si>
    <t>智能手机/移动设备</t>
  </si>
  <si>
    <t>スマートフォン/モバイルデバイス</t>
  </si>
  <si>
    <t>스마트폰/모바일 기기</t>
  </si>
  <si>
    <t>Smartphones / appareils mobiles</t>
  </si>
  <si>
    <t>Teléfonos inteligentes/dispositivos móviles</t>
  </si>
  <si>
    <t>Smartphones / Mobilgeräte</t>
  </si>
  <si>
    <t>Manufacturing of printed products and paper purchasing</t>
  </si>
  <si>
    <t>Produkcja wyrobów poligraficznych i zakup papieru</t>
  </si>
  <si>
    <t>印刷品制造及纸张采购</t>
  </si>
  <si>
    <t>印刷物の製造および紙の調達</t>
  </si>
  <si>
    <t>인쇄물 제조 및 종이 구매</t>
  </si>
  <si>
    <t>Fabrication de produits imprimés et achat de papier</t>
  </si>
  <si>
    <t>Fabricación de productos impresos y compra de papel</t>
  </si>
  <si>
    <t>Herstellung von Druckerzeugnissen und Papiereinkauf</t>
  </si>
  <si>
    <t>Legal Services, Financial Services</t>
  </si>
  <si>
    <t>Usługi prawne, usługi finansowe</t>
  </si>
  <si>
    <t>法律服务、金融服务</t>
  </si>
  <si>
    <t>法律サービス、金融サービス</t>
  </si>
  <si>
    <t>법률 서비스, 금융 서비스</t>
  </si>
  <si>
    <t>Services juridiques, services financiers</t>
  </si>
  <si>
    <t>Servicios legales, servicios financieros</t>
  </si>
  <si>
    <t>Rechtsberatung, Finanzdienstleistungen</t>
  </si>
  <si>
    <t>Software as a Services, Desktop Software, Server Software</t>
  </si>
  <si>
    <t>Oprogramowanie jako usługa, oprogramowanie na komputery stacjonarne, oprogramowanie na serwery</t>
  </si>
  <si>
    <t>软件即服务、桌面软件、服务器软件</t>
  </si>
  <si>
    <t>サービスとしてのソフトウェア、デスクトップソフトウェア、サーバーソフトウェア</t>
  </si>
  <si>
    <t>서비스로서의 소프트웨어, 데스크톱 소프트웨어, 서버 소프트웨어</t>
  </si>
  <si>
    <t>Logiciels en tant que services, logiciels de bureau, logiciels de serveur</t>
  </si>
  <si>
    <t>Software como servicio, software de escritorio, software de servidor</t>
  </si>
  <si>
    <t>Software as a Service, Desktop-Software, Server-Software</t>
  </si>
  <si>
    <t>Computers, Servers, Printers, Monitors, Peripherals</t>
  </si>
  <si>
    <t>Komputery, serwery, drukarki, monitory, urządzenia peryferyjne</t>
  </si>
  <si>
    <t>计算机、服务器、打印机、显示器、外围设备</t>
  </si>
  <si>
    <t>コンピュータ、サーバー、プリンター、モニター、周辺機器</t>
  </si>
  <si>
    <t>컴퓨터, 서버, 프린터, 모니터, 주변기기</t>
  </si>
  <si>
    <t>Ordinateurs, serveurs, imprimantes, écrans, périphériques</t>
  </si>
  <si>
    <t>Computadoras, servidores, impresoras, monitores, periféricos</t>
  </si>
  <si>
    <t>Computer, Server, Drucker, Monitore, Peripheriegeräte</t>
  </si>
  <si>
    <t>Technology purchased through Third Party Suppliers</t>
  </si>
  <si>
    <t>Technologia zakupiona za pośrednictwem dostawców zewnętrznych</t>
  </si>
  <si>
    <t>通过第三方供应商购买的技术</t>
  </si>
  <si>
    <t>サードパーティサプライヤーを通じて購入したテクノロジー</t>
  </si>
  <si>
    <t>제3자 공급업체를 통해 구매한 기술</t>
  </si>
  <si>
    <t>Technologie achetée auprès de fournisseurs tiers</t>
  </si>
  <si>
    <t>Tecnología adquirida a través de proveedores externos</t>
  </si>
  <si>
    <t>Über Drittanbieter erworbene Technologie</t>
  </si>
  <si>
    <t>Contractors and Consultants providing technology-related labor-based services</t>
  </si>
  <si>
    <t>Wykonawcy i konsultanci świadczący usługi oparte na pracy związane z technologią</t>
  </si>
  <si>
    <t>提供技术相关劳务的承包商和顾问</t>
  </si>
  <si>
    <t>テクノロジー関連の労働ベースのサービスを提供する請負業者およびコンサルタント</t>
  </si>
  <si>
    <t>기술 관련 노동 기반 서비스를 제공하는 계약자 및 컨설턴트</t>
  </si>
  <si>
    <t>Entrepreneurs et consultants fournissant des services de main-d'œuvre liés à la technologie</t>
  </si>
  <si>
    <t>Contratistas y consultores que brindan servicios laborales relacionados con la tecnología</t>
  </si>
  <si>
    <t>Auftragnehmer und Berater, die arbeitsbasierte technologiebezogene Dienstleistungen anbieten</t>
  </si>
  <si>
    <t>Telephony and network related products and services</t>
  </si>
  <si>
    <t>Produkty i usługi związane z telefonią i sieciami</t>
  </si>
  <si>
    <t>电话和网络相关产品和服务</t>
  </si>
  <si>
    <t>電話およびネットワーク関連の製品とサービス</t>
  </si>
  <si>
    <t>전화 및 네트워크 관련 제품 및 서비스</t>
  </si>
  <si>
    <t>Produits et services liés à la téléphonie et au réseau</t>
  </si>
  <si>
    <t>Productos y servicios relacionados con telefonía y redes</t>
  </si>
  <si>
    <t>Telefonie- und netzwerkbezogene Produkte und Dienste</t>
  </si>
  <si>
    <t>Travel-related services</t>
  </si>
  <si>
    <t>Usługi związane z podróżami</t>
  </si>
  <si>
    <t>旅行相关服务</t>
  </si>
  <si>
    <t>旅行関連サービス</t>
  </si>
  <si>
    <t>여행 관련 서비스</t>
  </si>
  <si>
    <t>Services liés aux voyages</t>
  </si>
  <si>
    <t>Servicios relacionados con viajes</t>
  </si>
  <si>
    <t>Reisebezogene Dienstleistungen</t>
  </si>
  <si>
    <t>Temp/contingent worker and permanent recruitment</t>
  </si>
  <si>
    <t>Pracownicy tymczasowi/tymczasowi i rekrutacja stała</t>
  </si>
  <si>
    <t>临时工/临时工和长期招聘</t>
  </si>
  <si>
    <t>臨時雇用と正社員採用</t>
  </si>
  <si>
    <t>임시/비정규직 및 정규직 채용</t>
  </si>
  <si>
    <t>Recrutement de travailleurs temporaires/intérimaires et permanents</t>
  </si>
  <si>
    <t>Trabajadores temporales/contingentes y contratación permanente</t>
  </si>
  <si>
    <t>Zeitarbeitskräfte/Kontingentarbeiter und Festanstellung</t>
  </si>
  <si>
    <t>Conference / Exhibits</t>
  </si>
  <si>
    <t>Konferencja / Wystawy</t>
  </si>
  <si>
    <t>会议/展览</t>
  </si>
  <si>
    <t>会議/展示会</t>
  </si>
  <si>
    <t>컨퍼런스/전시회</t>
  </si>
  <si>
    <t>Conférence / Expositions</t>
  </si>
  <si>
    <t>Conferencias / Exposiciones</t>
  </si>
  <si>
    <t>Konferenz / Ausstellungen</t>
  </si>
  <si>
    <t>Donations / Sponsorship</t>
  </si>
  <si>
    <t>Darowizny/Sponsoring</t>
  </si>
  <si>
    <t>捐赠/赞助</t>
  </si>
  <si>
    <t>寄付/スポンサーシップ</t>
  </si>
  <si>
    <t>기부/후원</t>
  </si>
  <si>
    <t>Dons / Parrainages</t>
  </si>
  <si>
    <t>Donaciones / Patrocinio</t>
  </si>
  <si>
    <t>Spenden / Sponsoring</t>
  </si>
  <si>
    <t>Government / Tax</t>
  </si>
  <si>
    <t>Rząd / Podatki</t>
  </si>
  <si>
    <t>政府/税务</t>
  </si>
  <si>
    <t>政府 / 税金</t>
  </si>
  <si>
    <t>정부 / 세금</t>
  </si>
  <si>
    <t>Gouvernement / Impôts</t>
  </si>
  <si>
    <t>Gobierno / Impuestos</t>
  </si>
  <si>
    <t>Regierung / Steuern</t>
  </si>
  <si>
    <t>Intercompany</t>
  </si>
  <si>
    <t>Międzyfirmowe</t>
  </si>
  <si>
    <t>公司间</t>
  </si>
  <si>
    <t>企業間</t>
  </si>
  <si>
    <t>회사 간</t>
  </si>
  <si>
    <t>Interentreprises</t>
  </si>
  <si>
    <t>Intercompañía</t>
  </si>
  <si>
    <t>Konzernintern</t>
  </si>
  <si>
    <t>Properties</t>
  </si>
  <si>
    <t>Właściwości</t>
  </si>
  <si>
    <t>特性</t>
  </si>
  <si>
    <t>プロパティ</t>
  </si>
  <si>
    <t>속성</t>
  </si>
  <si>
    <t>Propriétés</t>
  </si>
  <si>
    <t>Propiedades</t>
  </si>
  <si>
    <t>Eigenschaften</t>
  </si>
  <si>
    <t>Banking &amp; Finance</t>
  </si>
  <si>
    <t>Bankowość i finanse</t>
  </si>
  <si>
    <t>银行与金融</t>
  </si>
  <si>
    <t>銀行・金融</t>
  </si>
  <si>
    <t>은행 및 금융</t>
  </si>
  <si>
    <t>Banque et finance</t>
  </si>
  <si>
    <t>Banca y finanzas</t>
  </si>
  <si>
    <t>Banken und Finanzen</t>
  </si>
  <si>
    <t>Societies</t>
  </si>
  <si>
    <t>Społeczeństwa</t>
  </si>
  <si>
    <t>社团</t>
  </si>
  <si>
    <t>社会</t>
  </si>
  <si>
    <t>사회</t>
  </si>
  <si>
    <t>Sociétés</t>
  </si>
  <si>
    <t>Sociedades</t>
  </si>
  <si>
    <t>Gesellschaften</t>
  </si>
  <si>
    <t>Subscription</t>
  </si>
  <si>
    <t>Prenumerata</t>
  </si>
  <si>
    <t>订阅</t>
  </si>
  <si>
    <t>サブスクリプション</t>
  </si>
  <si>
    <t>신청</t>
  </si>
  <si>
    <t>Abonnement</t>
  </si>
  <si>
    <t>Suscripción</t>
  </si>
  <si>
    <t>AUSTRIA UST NUMBER</t>
  </si>
  <si>
    <t>UST Number</t>
  </si>
  <si>
    <t>UST-Nummer</t>
  </si>
  <si>
    <t>CONTRACT QUESTION (AUSTRIA ONLY)</t>
  </si>
  <si>
    <t>Is there a signed agreement in place stating the Supplier payment terms? (Not applicable to Authors)</t>
  </si>
  <si>
    <t>CONTRACT QUESTION (SOUTH AFRICA ONLY)</t>
  </si>
  <si>
    <t>STOP IF ADDRESS CHANGE (SOUTH AFRICA FORM ONLY)</t>
  </si>
  <si>
    <t>If address change only, skip to row 85.</t>
  </si>
  <si>
    <t>PAY TERMS STATEMENT (SOUTH AFRICA ONLY)</t>
  </si>
  <si>
    <t>RELX standard payment terms are NET 30 Days.</t>
  </si>
  <si>
    <t>DUE DILIGENCE QUESTIONNAIRE (SOUTH AFRICA ONLY)</t>
  </si>
  <si>
    <t>Estimated annual spend with supplier (ZAR):</t>
  </si>
  <si>
    <t>EMAIL ADDRESS</t>
  </si>
  <si>
    <t>Email Address</t>
  </si>
  <si>
    <t>Adres e-mail</t>
  </si>
  <si>
    <t>電子メールアドレス</t>
  </si>
  <si>
    <t>이메일 주소</t>
  </si>
  <si>
    <t>Adresse e-mail</t>
  </si>
  <si>
    <t>Dirección de correo electrónico</t>
  </si>
  <si>
    <t>E-Mail-Adresse</t>
  </si>
  <si>
    <t>Version 2.5 (France) October 2025</t>
  </si>
  <si>
    <t>LexisNexis SA</t>
  </si>
  <si>
    <t>E-mail</t>
  </si>
  <si>
    <t>Tel</t>
  </si>
  <si>
    <t>20%</t>
  </si>
  <si>
    <t>AP.FRvendormaintenance@lexisnexis.fr</t>
  </si>
  <si>
    <t>VENDOR TYPE</t>
  </si>
  <si>
    <t>FORM REQUIREMENTS</t>
  </si>
  <si>
    <t xml:space="preserve">K-BIS form dated less than 3 months ago and a complete original RIB, in PDF if sent by email. </t>
  </si>
  <si>
    <t>Click on the blue box to view important RELX Global invoicing requirements. Following these requirements will reduce the risk of late payments or invoice rejections.</t>
  </si>
  <si>
    <t>Cliquez sur la case bleue pour afficher les exigences de facturation importantes de RELX Global. Le respect de ces exigences réduira le risque de retard de paiement ou de rejet de facture.</t>
  </si>
  <si>
    <t>For internal use by LN Legal &amp; Professional</t>
  </si>
  <si>
    <t>Pour usage interne de LN Legal &amp; Professional et RELX</t>
  </si>
  <si>
    <t>PeopleSoft Supplier Name</t>
  </si>
  <si>
    <t>Nom du fournisseur PeopleSoft</t>
  </si>
  <si>
    <t>PeopleSoft Supplier #</t>
  </si>
  <si>
    <t>Code fournisseur PeopleSoft</t>
  </si>
  <si>
    <t>Entité</t>
  </si>
  <si>
    <t>Pays de l’entité</t>
  </si>
  <si>
    <t>RELX standard payment method is Electronic. For any exceptions, email AP.FRvendormaintenance@lexisnexis.fr for pre-approval.</t>
  </si>
  <si>
    <t>La méthode de paiement standard RELX est électronique. Pour toute exception, envoyez un e-mail à AP.FRvendormaintenance@lexisnexis.fr pour une pré-approbation.</t>
  </si>
  <si>
    <t>Is there a signed agreement in place stating the Supplier payment terms?</t>
  </si>
  <si>
    <t>Existe-t-il un accord signé indiquant les conditions de paiement du fournisseur ?</t>
  </si>
  <si>
    <t>Les conditions de paiement standard RELX sont de 30 jours NET.</t>
  </si>
  <si>
    <t>Is a Procurement contract in place? (Not applicable for Authors)</t>
  </si>
  <si>
    <t>Un contrat d'approvisionnement est-il en place ? (Non applicable aux auteurs)</t>
  </si>
  <si>
    <t>If address change only, skip to row 113.</t>
  </si>
  <si>
    <t>Si l'adresse change uniquement, passez à la ligne 113.</t>
  </si>
  <si>
    <t>LN France Form Only</t>
  </si>
  <si>
    <t>Company - Associations/Societies</t>
  </si>
  <si>
    <t>Entreprise - Associations/Sociétés</t>
  </si>
  <si>
    <t>Social reason</t>
  </si>
  <si>
    <t>Raison Sociale</t>
  </si>
  <si>
    <t>Acronym, Brand or Trade Name</t>
  </si>
  <si>
    <t>Sigle, Enseigne ou Nom commercial</t>
  </si>
  <si>
    <t>Activity</t>
  </si>
  <si>
    <t>Activité</t>
  </si>
  <si>
    <t>Legal status</t>
  </si>
  <si>
    <t>Forme juridique</t>
  </si>
  <si>
    <t>Intra-community VAT number (If not subject to VAT, explain why.)</t>
  </si>
  <si>
    <t>N° de Tva intracommunautaire (Si non assujetti à la tva, expliquez pourquoi.)</t>
  </si>
  <si>
    <t>No. Siret (If not listed in the directory, explain why.)</t>
  </si>
  <si>
    <t>N° Siret (Si non inscrit au répertoire, expliquez pourquoi.)</t>
  </si>
  <si>
    <t>Other registration number (association etc.)</t>
  </si>
  <si>
    <t>Autre n° d’immatriculation (association etc…)</t>
  </si>
  <si>
    <t>Naf code (nomenclature rev. 2 of 2008)</t>
  </si>
  <si>
    <t>Code Naf (nomenclature rév. 2 de 2008)</t>
  </si>
  <si>
    <t>Order Receipt Address</t>
  </si>
  <si>
    <t>Adresse de réception du Bon de cde</t>
  </si>
  <si>
    <t>Invoice Header Address</t>
  </si>
  <si>
    <t xml:space="preserve">Adresse d’en-tête Facture </t>
  </si>
  <si>
    <t>Address For Receipt Of Transfer Notice</t>
  </si>
  <si>
    <t>Adresse de réception de l’avis de virement</t>
  </si>
  <si>
    <t>Contact authorized to provide the certificate of provision of social declaration, known as vigilance declaration and the list of names of foreign employees subject to work authorization (in application of article L-8222-1 of the labor code)</t>
  </si>
  <si>
    <t>Contact habilité à fournir l’attestation de fourniture de déclaration sociale, dite de vigilance et la liste nominative des salariés étrangers soumis à autorisation de travail (en application de l’article L-8222-1 du code du travail)</t>
  </si>
  <si>
    <t>VAT rate</t>
  </si>
  <si>
    <t>Taux de TVA</t>
  </si>
  <si>
    <t>VAT payable</t>
  </si>
  <si>
    <t>Exigibilité de la Tva</t>
  </si>
  <si>
    <t>On collections</t>
  </si>
  <si>
    <t xml:space="preserve">Sur les encaissements </t>
  </si>
  <si>
    <t>On flow rates</t>
  </si>
  <si>
    <t xml:space="preserve">Sur les débits </t>
  </si>
  <si>
    <t>Billing fees? (Yes No)</t>
  </si>
  <si>
    <t>Facturation d’honoraires ? (oui /non)</t>
  </si>
  <si>
    <t>Deposit required? (Yes No)</t>
  </si>
  <si>
    <t>Acompte obligatoire ? (oui /non)</t>
  </si>
  <si>
    <t>% of the order</t>
  </si>
  <si>
    <t>% de la commande</t>
  </si>
  <si>
    <t>This form must be returned with 
- a K-BIS dated less than 3 months ago 
- a complete original RIB, in PDF format if sent by email. 
The bank account holder must correspond to the billing establishment except in the case of using a factoring company (information concerning the factor must be provided precisely).</t>
  </si>
  <si>
    <t xml:space="preserve">Cette fiche doit être retournée avec 
     -  un K-BIS daté de moins de 3 mois
     -  un RIB original complet, en format PDF s’il est transmis par mail. 
Le titulaire du compte bancaire doit obligatoirement correspondre à l’établissement facturant sauf en cas de recours à une société d’affacturage (les informations concernant le factor devront être fournies de manière précise).
</t>
  </si>
  <si>
    <t>General contact e-mail</t>
  </si>
  <si>
    <t>Contact général e-mail</t>
  </si>
  <si>
    <t>Commercial contact</t>
  </si>
  <si>
    <t>Contact commercial</t>
  </si>
  <si>
    <t>Accounting contact</t>
  </si>
  <si>
    <t>Contact comptable</t>
  </si>
  <si>
    <t>Others</t>
  </si>
  <si>
    <t>Autres</t>
  </si>
  <si>
    <t>Purchase amount excl. VAT</t>
  </si>
  <si>
    <t>Montant HT de l’achat</t>
  </si>
  <si>
    <t>VAT excl. amount planned during a year</t>
  </si>
  <si>
    <t>Montant HT prévu annuallement</t>
  </si>
  <si>
    <t>VAT incl. amount planned for a year</t>
  </si>
  <si>
    <t>Montant TTC prévu annuallement</t>
  </si>
  <si>
    <t>Contact for e-attestation invite</t>
  </si>
  <si>
    <t>Contact pour l'invitation à l'attestation électronique</t>
  </si>
  <si>
    <t>Type of purchase/Purchase description</t>
  </si>
  <si>
    <t>Description de l’achat</t>
  </si>
  <si>
    <t>SOCIAL SECURITY NUMBER</t>
  </si>
  <si>
    <t>Social Security Number</t>
  </si>
  <si>
    <t>Numéro de sécurité sociale</t>
  </si>
  <si>
    <t>Version 2.5 (Austria) October 2025</t>
  </si>
  <si>
    <t>Wählen Sie</t>
  </si>
  <si>
    <t>Austria</t>
  </si>
  <si>
    <t>EUR</t>
  </si>
  <si>
    <t>Wählen Sie ein Land…</t>
  </si>
  <si>
    <t>Mithilfe dieses Formulars werden Informationen gesammelt, die unsere Buchhaltung benötigt, um Ihre Honorare auszahlen oder Ihre Rechnungen begleichen zu können. LexisNexis Legal &amp; Professional und RELX wird diese Informationen nicht für andere als die oben genannten Zwecke verwenden. Die Informationen müssen vorliegen, bevor eine Zahlung erfolgen kann. Hinsichtlich der geltenden Bedingungen verweisen wir auf die zwischen Ihnen und Ihrer zuständigen RELX-Business-Einheit geschlossenen Vereinbarung.</t>
  </si>
  <si>
    <t>Bitte füllen Sie ALLE Pflichtfelder aus und reichen Sie das Formular wie unten angegeben ein.</t>
  </si>
  <si>
    <t>Bitte füllen Sie ALLE erforderlichen Felder in diesem Abschnitt aus und leiten Sie das Formular anschließend zur Vervollständigung an Ihren Lieferanten-/Autorenkontakt weiter.</t>
  </si>
  <si>
    <t>Klicken Sie auf das blaue Kästchen, um wichtige Anforderungen von RELX an Rechnungen einzusehen. Wenn Sie diese Anforderungen erfüllen, verringert sich das Risiko verspäteter Zahlungen oder der Ablehnung von Rechnungen. (Gilt nicht für Autoren)</t>
  </si>
  <si>
    <t>Rechnungsanforderungen von LexisNexis Legal &amp; Professional und RELX</t>
  </si>
  <si>
    <t>ANMELDEFORMULAR FÜR LIEFERANTEN/AUTOREN</t>
  </si>
  <si>
    <t>Rechnungen und Autorenhonorare können erst bezahlt werden, wenn die entsprechenden Formulare vollständig eingegangen sind und validiert wurden.</t>
  </si>
  <si>
    <t>Für den internen Gebrauch durch LexisNexis Legal &amp; Professional und RELX</t>
  </si>
  <si>
    <t>Grund der Anforderung</t>
  </si>
  <si>
    <t>Änderung Stammdaten:</t>
  </si>
  <si>
    <t>Name Lieferant/Autor</t>
  </si>
  <si>
    <t>Nummer Lieferant/Autor</t>
  </si>
  <si>
    <t>Bitte leer lassen, falls die Information nicht bekannt ist. (Die Information unterstützt die Buchhaltung bei der Aktualisierung der Lieferanten-/Autorenstammdaten.)</t>
  </si>
  <si>
    <t>Was muss geändert werden (sonstiges):</t>
  </si>
  <si>
    <t>Name Bearbeiter</t>
  </si>
  <si>
    <t>E-Mail-Adresse Bearbeiter</t>
  </si>
  <si>
    <t>Standardmäßig erfolgt die Zahlung durch Überweisung.  Für Ausnahmen senden Sie eine E-Mail an ap.globalvendormaintenance@lexisnexis.com, um vorab eine Genehmigung zu erhalten.</t>
  </si>
  <si>
    <t>Is there a signed agreement in place stating the Supplier payment terms? (Not applicable to US Authors)</t>
  </si>
  <si>
    <t>Die Standard-Zahlungsbedingungen von RELX sehen eine Zahlung ohne Abzug innerhalb von 45 Tagen nach Rechnungsdatum vor. (Gilt nicht für Autoren)</t>
  </si>
  <si>
    <t>Bitte geben Sie die vereinbarten Zahlungsbedingungen schriftlich an. Ein Mitarbeiter der Buchhaltung wird sich zur Überprüfung mit Ihnen in Verbindung setzen.</t>
  </si>
  <si>
    <t>Grund für die Neuanlage eines Lieferanten/Autors</t>
  </si>
  <si>
    <t>Wenn ein Beschaffungsvertrag-/Rahmenvertrag besteht, stellen Sie bitte sicher, dass eine Kopie an contracts@relx.com gesendet wird.</t>
  </si>
  <si>
    <t>Ist ein Bestellauftrag erforderlich? (Haben Sie dies mit der Beschaffungsabteilung abgestimmt)?</t>
  </si>
  <si>
    <t>Haben oder hatten Sie, ein Mitglied Ihrer Familie, ein Mitarbeiter von RELX oder ein Familienangehöriger eines RELX-Mitarbeiters jemals ein wirtschaftliches Abhängigkeitsverhältnis mit dem Lieferanten/Autor (z.B. aufgrund einer Beschäftigung, einer Beratertätigkeit, einer finanziellen Verpflichtung oder Eigentums- oder Beteiligungsverhältnissen)?</t>
  </si>
  <si>
    <t>Bitte führen Sie dies näher aus.</t>
  </si>
  <si>
    <t>Mit der Einreichung dieses Formulars bestätige ich, dass alle darin enthaltenen Angaben zutreffend sind. Mir ist bewusst, dass jede unrichtige Angabe disziplinarische Maßnahmen nach sich ziehen kann. Darüber hinaus verpflichte ich mich, die Abteilung „Global Accounts Payable” unverzüglich zu informieren, sobald ich Kenntnis von zusätzlichen Informationen erlange, durch die die Angaben in diesem Formular unzutreffend werden, damit diese entsprechend aktualisiert werden können.</t>
  </si>
  <si>
    <t>Nur für den internen Gebrauch der Buchhaltung</t>
  </si>
  <si>
    <t>KREDITORENINFORMATION (vom Lieferanten/Autor auszufüllen)</t>
  </si>
  <si>
    <t>Lieferanten-/Firmen-/Personenname</t>
  </si>
  <si>
    <t>Adresse</t>
  </si>
  <si>
    <t>Ort</t>
  </si>
  <si>
    <t>Name der Kontaktperson (wenn abweichend von Lieferanten-/Firmen-/Personenname)</t>
  </si>
  <si>
    <t>Adresse für Bestellungen (wenn abweichend von oben)</t>
  </si>
  <si>
    <t>E-Mail-Adresse für Bestellungen (Purchase Orders)</t>
  </si>
  <si>
    <t>E-Mail-Adresse für Zahlungsaviso</t>
  </si>
  <si>
    <t>Telefonnummer</t>
  </si>
  <si>
    <t>If address change only, skip to row 176.</t>
  </si>
  <si>
    <t>Umsatzsteuersatz (%)</t>
  </si>
  <si>
    <t>Umsatzsteuer-Identifikationsnummer (UID Nr.)</t>
  </si>
  <si>
    <t>Die letzten 4 Ziffern des früheren Bankkontos (aus Sicherheitsgründen erforderlich)</t>
  </si>
  <si>
    <t>Sonstige Währung</t>
  </si>
  <si>
    <t>Name Bankinstitut</t>
  </si>
  <si>
    <t>Zweigniederlassung</t>
  </si>
  <si>
    <t>Sitz der Bank (Land)</t>
  </si>
  <si>
    <t>EINREICHUNG FORMULAR</t>
  </si>
  <si>
    <r>
      <t xml:space="preserve">HIERMIT BESTÄTIGE ICH, DASS MEINE ANGABEN VOLLSTÄNDIG UND KORREKT </t>
    </r>
    <r>
      <rPr>
        <sz val="10"/>
        <rFont val="Calibri"/>
        <family val="2"/>
        <scheme val="minor"/>
      </rPr>
      <t>SIND</t>
    </r>
    <r>
      <rPr>
        <sz val="10"/>
        <color theme="1"/>
        <rFont val="Calibri"/>
        <family val="2"/>
        <scheme val="minor"/>
      </rPr>
      <t xml:space="preserve">.* Der Lieferant/Autor nimmt zur Kenntnis, dass LexisNexis eine globale Lieferantenplattform unter Wahrung der Vertraulichkeit führt. Daher können die Angaben in diesem Formular für Zahlungen an den Lieferanten/Autor durch jedes Unternehmen der RELX-Gruppe verwendet werden. </t>
    </r>
  </si>
  <si>
    <t>Jobtitel: (Für Autor nicht verpflichtend)</t>
  </si>
  <si>
    <t>Klicken Sie hier, um das Formular als PDF einzureichen.</t>
  </si>
  <si>
    <t>Please save the Excel sheet as a PDF file and send the fully completed and signed PDF, as well as all other relevant documents, to: ap.globalvendormaintenance@lexisnexis.com and accounting@lexisnexis.at</t>
  </si>
  <si>
    <t xml:space="preserve">Bitte speichern Sie das Excel-Sheet als PDF-Datei und die vollständig ausgefüllte und unterzeichnete PDF, sowie alle weiteren relevanten Unterlagen senden Sie bitte an: ap.globalvendormaintenance@lexisnexis.com und accounting@lexisnexis.at </t>
  </si>
  <si>
    <t>Neuanlage Lieferant/Autor</t>
  </si>
  <si>
    <t>Lieferanten-/Autorendetails ändern/aktualisieren</t>
  </si>
  <si>
    <t>Reaktivierung eines inaktiven Lieferanten/Autors</t>
  </si>
  <si>
    <t>Sonstiges</t>
  </si>
  <si>
    <t>Vorhandene Adresse ändern</t>
  </si>
  <si>
    <t>Mitarbeiter</t>
  </si>
  <si>
    <t>Rechtsberatung</t>
  </si>
  <si>
    <t>Lieferant (allgemein)</t>
  </si>
  <si>
    <t>Miete/Pacht</t>
  </si>
  <si>
    <t>Lizenzgeber</t>
  </si>
  <si>
    <t>Energie- und Versorgungsunternehmen</t>
  </si>
  <si>
    <t>E-Mail-Adresse der Ansprechperson</t>
  </si>
  <si>
    <t>(Erhält Zugriff auf das Lieferantenprofil und die Bankinformationen im Lieferantenportal - sofern verfügbar.)</t>
  </si>
  <si>
    <t>Geschätzte jährliche Ausgaben mit dem Lieferanten (USD):</t>
  </si>
  <si>
    <t>Glauben Sie, dass dieser Lieferant aus Sicht der Geschäftsstabilität für Ihren RELX-Geschäftsbereich (RELX Corp, Elsevier, LexisNexis Legal and Professional, Risk oder RX) zu den 1 % wichtigsten Lieferanten gehört oder bald dazugehören wird?</t>
  </si>
  <si>
    <t>Beträgt die Erstlaufzeit mit dem Lieferanten/Autor ein Jahr oder weniger?</t>
  </si>
  <si>
    <t>Liegt mit diesem Lieferanten/Autor ein Vertrag vor?</t>
  </si>
  <si>
    <t>In Bearbeitung</t>
  </si>
  <si>
    <t>Business Unit (Procurement)</t>
  </si>
  <si>
    <t>Kapitalgesellschaft (Inland)</t>
  </si>
  <si>
    <t>Kapitalgesellschaft (Ausland)</t>
  </si>
  <si>
    <t>Regierungsbehörde (Ausland)</t>
  </si>
  <si>
    <t>Privatperson (Ausland)</t>
  </si>
  <si>
    <t>Personengesellschaft (Ausland)</t>
  </si>
  <si>
    <t>Regierungsbehörde (Inland)</t>
  </si>
  <si>
    <t>Privatperson (Inland)</t>
  </si>
  <si>
    <t>Personengesellschaft (Inland)</t>
  </si>
  <si>
    <t>Wählen Sie ein Produkt oder eine Dienstleistung aus:</t>
  </si>
  <si>
    <t>Cloud-Lösungen</t>
  </si>
  <si>
    <t>Unternehmensberatung</t>
  </si>
  <si>
    <t>Content/Inhalte</t>
  </si>
  <si>
    <t>Logistik</t>
  </si>
  <si>
    <t>Datenkonvertierung und Lektoratsdienste</t>
  </si>
  <si>
    <t>Gebäude- und Immobilienmanagement</t>
  </si>
  <si>
    <t>HR Dienstleistungen für Mitarbeiter</t>
  </si>
  <si>
    <t>Mobilfunkgeräte</t>
  </si>
  <si>
    <t>Rechtsberatung und Finanzdienstleistungen</t>
  </si>
  <si>
    <t>IT Drittanbieter</t>
  </si>
  <si>
    <t>IT Dienstleistungen</t>
  </si>
  <si>
    <t>Telekommunikation &amp; Internet</t>
  </si>
  <si>
    <t>Personaldienstleister</t>
  </si>
  <si>
    <t>Kurierdienst, Porto, Versand, Fracht, Logistik, Bestellabwicklung und Lagerhaltung</t>
  </si>
  <si>
    <t>Datenverarbeitung, Exzerpieren, Web Scraping, Konvertierung, Satz, Lektorat, Korrekturlesen und Kundendienst</t>
  </si>
  <si>
    <t>Mitarbeitervorteile/-programme, Schulungen, Beratungsdienstleistungen in HR</t>
  </si>
  <si>
    <t>Smartphones/Mobilgeräte</t>
  </si>
  <si>
    <t>Anbieter von technologiebasierten Dienstleistungen</t>
  </si>
  <si>
    <t>Telekommunikationsdienste und Telekommunikationsprodukte</t>
  </si>
  <si>
    <t>Anbieter von Tagungen, Ausstellungen sowie Reisedienstleister</t>
  </si>
  <si>
    <t>Recruiting, Anbieter von Leiharbeitskräften</t>
  </si>
  <si>
    <t>Konferenzen/Ausstellungen</t>
  </si>
  <si>
    <t>Spenden/Sponsoring</t>
  </si>
  <si>
    <t>Regierung/Steuern</t>
  </si>
  <si>
    <t>Konzernverrechnung (Intercompany)</t>
  </si>
  <si>
    <t>Immobilien</t>
  </si>
  <si>
    <t>sonstige Unternehmen</t>
  </si>
  <si>
    <t>UID Nummer (wenn Sie keine besitzen, dann bitte leer lassen)</t>
  </si>
  <si>
    <t>Gibt es eine unterzeichnete Vereinbarung hinsichtlich der Zahlungsbedingungen des Lieferanten? (Gilt nicht für Autoren)</t>
  </si>
  <si>
    <t>STOP IF ADDRESS CHANGE (AUSTRIA ONLY)</t>
  </si>
  <si>
    <t>If address change only, skip to row 81.</t>
  </si>
  <si>
    <t>Wenn sich nur die Adresse ändert, fahren Sie bitte mit Zeile 81 fort.</t>
  </si>
  <si>
    <t>BANK COUNTRY</t>
  </si>
  <si>
    <t>Version 2.5 (South Africa) October 2025</t>
  </si>
  <si>
    <t>South Africa</t>
  </si>
  <si>
    <t>LEX ZA Business Unit</t>
  </si>
  <si>
    <t>Company Registration Number or ID Number</t>
  </si>
  <si>
    <t>Are you in possession of a valid BEE Certificate or Affidavit?</t>
  </si>
  <si>
    <t>Please attach the below documentation to your completed and signed form:</t>
  </si>
  <si>
    <t>Company registration documents (if a Company)</t>
  </si>
  <si>
    <t>ID documents (if Individual)</t>
  </si>
  <si>
    <t>Proof of banking - not older than 3 months</t>
  </si>
  <si>
    <t>VAT registration certificate</t>
  </si>
  <si>
    <t>BEE Certificate or Affidavit (if a Company - not necessary if spend is below R50 000k)</t>
  </si>
  <si>
    <t>BEE Affidavit (if Individual - not necessary if spend is below R50 000k)</t>
  </si>
  <si>
    <t>Signed author contract (not necessary for Contributor)</t>
  </si>
  <si>
    <t>Signed PSP</t>
  </si>
  <si>
    <t>Additional Email Addresses for Purchase Orders (if applicable)</t>
  </si>
  <si>
    <t>ZAR-S. African Rand</t>
  </si>
  <si>
    <t>procurement.sa@lexisnexis.co.za</t>
  </si>
  <si>
    <t>Return to supplier form</t>
  </si>
  <si>
    <t>If registered, provide the following information for all registrations:</t>
  </si>
  <si>
    <t>Total no of GST Registrations (pan India)</t>
  </si>
  <si>
    <t xml:space="preserve">For each Registration and each Place(s) of Business for each Registration from where the goods/services will be supplied to LexisNexis, kindly provide the following information </t>
  </si>
  <si>
    <t>Please fill in all fields in Yellow and attach your GST Registration certificate along with this document.</t>
  </si>
  <si>
    <t>Registration for State 1</t>
  </si>
  <si>
    <t>Date of registration</t>
  </si>
  <si>
    <t xml:space="preserve">Provisional GSTIN/ UIN </t>
  </si>
  <si>
    <t>ANDHRA PRADESH</t>
  </si>
  <si>
    <t>Registered Address</t>
  </si>
  <si>
    <t>ARUNACHAL PRADESH</t>
  </si>
  <si>
    <t>PIN code</t>
  </si>
  <si>
    <t>State</t>
  </si>
  <si>
    <t>Select</t>
  </si>
  <si>
    <t>ASSAM</t>
  </si>
  <si>
    <t>Composition scheme availed</t>
  </si>
  <si>
    <t>TAN NO</t>
  </si>
  <si>
    <t>CHANDIGARH</t>
  </si>
  <si>
    <t>Name of the contact person</t>
  </si>
  <si>
    <t>Designation of contact person</t>
  </si>
  <si>
    <t>CHATTISGARH</t>
  </si>
  <si>
    <t>Contact Number of contact person</t>
  </si>
  <si>
    <t>Email-id of contact person</t>
  </si>
  <si>
    <t>DADRA AND NAGAR HAVELI</t>
  </si>
  <si>
    <t>Registration for State 2</t>
  </si>
  <si>
    <t>DAMAN AND DIU</t>
  </si>
  <si>
    <t>DELHI</t>
  </si>
  <si>
    <t>GOA</t>
  </si>
  <si>
    <t>GUJARAT</t>
  </si>
  <si>
    <t>HARYANA</t>
  </si>
  <si>
    <t>HIMACHAL PRADESH</t>
  </si>
  <si>
    <t>JAMMU AND KASHMIR</t>
  </si>
  <si>
    <t>Registration for State 3 (if applicable) (please add field for other states in the form if applicable)</t>
  </si>
  <si>
    <t>JHARKHAND</t>
  </si>
  <si>
    <t>KARNATAKA</t>
  </si>
  <si>
    <t>KERALA</t>
  </si>
  <si>
    <t>LAKSHADWEEP ISLANDS</t>
  </si>
  <si>
    <t>MADHYA PRADESH</t>
  </si>
  <si>
    <t>MAHARASHTRA</t>
  </si>
  <si>
    <t>MANIPUR</t>
  </si>
  <si>
    <t>Note:</t>
  </si>
  <si>
    <t>Please provide a copy of document evidencing provisional GSTIN ID and / or ARN issued by GSTN</t>
  </si>
  <si>
    <r>
      <t xml:space="preserve">The </t>
    </r>
    <r>
      <rPr>
        <b/>
        <sz val="11"/>
        <rFont val="Calibri"/>
        <family val="2"/>
      </rPr>
      <t>W-8BEN and W-8BEN-E</t>
    </r>
    <r>
      <rPr>
        <sz val="11"/>
        <color indexed="8"/>
        <rFont val="Calibri"/>
        <family val="2"/>
      </rPr>
      <t xml:space="preserve"> forms (entitled </t>
    </r>
    <r>
      <rPr>
        <b/>
        <sz val="11"/>
        <rFont val="Calibri"/>
        <family val="2"/>
      </rPr>
      <t>Certificate of Foreign Status of Beneficial Owner for United States Tax Withholding</t>
    </r>
    <r>
      <rPr>
        <sz val="11"/>
        <color indexed="8"/>
        <rFont val="Calibri"/>
        <family val="2"/>
      </rPr>
      <t>) is used in the United States taxation system by foreign persons (including corporations) to certify their non-American status. The form, issued by the Internal Revenue Service, establishes that one is a foreign, non-resident alien or foreign national performing work outside the United States, in order to claim tax treaty benefits such as a lower amount of tax withholding from dividends paid by U.S. corporations. The W-8BEN form should be submitted with this form, and not to the IRS.
W-8BEN and W-8BEN-E Form for Online Affiliate Marketers This attachment for online marketers is incorrect. The W-8BEN is for persons subject to tax withholding. For non-U.S. affiliates, affiliate income is generally "foreign-sourced income" and therefore not subject to tax withholding.</t>
    </r>
  </si>
  <si>
    <t>Form W-8BEN-E (to be completed for suppliers/companies)</t>
  </si>
  <si>
    <t>IRS official PDF W-8BEN-E Form</t>
  </si>
  <si>
    <r>
      <rPr>
        <b/>
        <sz val="10"/>
        <color indexed="8"/>
        <rFont val="Calibri"/>
        <family val="2"/>
      </rPr>
      <t>Completion Guidelines</t>
    </r>
    <r>
      <rPr>
        <sz val="10"/>
        <color indexed="8"/>
        <rFont val="Calibri"/>
        <family val="2"/>
      </rPr>
      <t xml:space="preserve">
</t>
    </r>
    <r>
      <rPr>
        <b/>
        <sz val="10"/>
        <color indexed="8"/>
        <rFont val="Calibri"/>
        <family val="2"/>
      </rPr>
      <t>Part 1:</t>
    </r>
    <r>
      <rPr>
        <sz val="10"/>
        <color indexed="8"/>
        <rFont val="Calibri"/>
        <family val="2"/>
      </rPr>
      <t xml:space="preserve">  Complete Fields 1, 2, 6, 7 and 8 or 9b
</t>
    </r>
    <r>
      <rPr>
        <b/>
        <sz val="10"/>
        <color indexed="8"/>
        <rFont val="Calibri"/>
        <family val="2"/>
      </rPr>
      <t>Part 3</t>
    </r>
    <r>
      <rPr>
        <sz val="10"/>
        <color indexed="8"/>
        <rFont val="Calibri"/>
        <family val="2"/>
      </rPr>
      <t xml:space="preserve">:  Complete Field 14a
</t>
    </r>
    <r>
      <rPr>
        <b/>
        <sz val="10"/>
        <color indexed="8"/>
        <rFont val="Calibri"/>
        <family val="2"/>
      </rPr>
      <t>Part XXIX</t>
    </r>
    <r>
      <rPr>
        <sz val="10"/>
        <color indexed="8"/>
        <rFont val="Calibri"/>
        <family val="2"/>
      </rPr>
      <t>:  Sign and Date</t>
    </r>
  </si>
  <si>
    <t>IRS official PDF W-8BEN-E Form Instructions</t>
  </si>
  <si>
    <t>Form W-8BEN (to be completed for payees who are individuals)</t>
  </si>
  <si>
    <t>IRS official PDF W-8BEN Form</t>
  </si>
  <si>
    <r>
      <rPr>
        <b/>
        <sz val="10"/>
        <color indexed="8"/>
        <rFont val="Calibri"/>
        <family val="2"/>
      </rPr>
      <t>Completion Guidelines</t>
    </r>
    <r>
      <rPr>
        <sz val="10"/>
        <color indexed="8"/>
        <rFont val="Calibri"/>
        <family val="2"/>
      </rPr>
      <t xml:space="preserve">
</t>
    </r>
    <r>
      <rPr>
        <b/>
        <sz val="10"/>
        <color indexed="8"/>
        <rFont val="Calibri"/>
        <family val="2"/>
      </rPr>
      <t>Part 1</t>
    </r>
    <r>
      <rPr>
        <sz val="10"/>
        <color indexed="8"/>
        <rFont val="Calibri"/>
        <family val="2"/>
      </rPr>
      <t xml:space="preserve">:  Complete Fields 1, 2, 3, 4, 5 or 6 and 8
</t>
    </r>
    <r>
      <rPr>
        <b/>
        <sz val="10"/>
        <color indexed="8"/>
        <rFont val="Calibri"/>
        <family val="2"/>
      </rPr>
      <t>Part 2</t>
    </r>
    <r>
      <rPr>
        <sz val="10"/>
        <color indexed="8"/>
        <rFont val="Calibri"/>
        <family val="2"/>
      </rPr>
      <t xml:space="preserve">:  Complete Field 9
</t>
    </r>
    <r>
      <rPr>
        <b/>
        <sz val="10"/>
        <color indexed="8"/>
        <rFont val="Calibri"/>
        <family val="2"/>
      </rPr>
      <t>Part 3</t>
    </r>
    <r>
      <rPr>
        <sz val="10"/>
        <color indexed="8"/>
        <rFont val="Calibri"/>
        <family val="2"/>
      </rPr>
      <t>:  Sign and Date</t>
    </r>
  </si>
  <si>
    <t>IRS official PDF W-8BEN Form Instructions</t>
  </si>
  <si>
    <t>ADDITIONAL INSTRUCTIONS TO ASSIST WITH COMPLETION OF THE W8:</t>
  </si>
  <si>
    <t>Form W-9</t>
  </si>
  <si>
    <r>
      <t>Form W-9</t>
    </r>
    <r>
      <rPr>
        <sz val="11"/>
        <color indexed="8"/>
        <rFont val="Calibri"/>
        <family val="2"/>
      </rPr>
      <t xml:space="preserve">, </t>
    </r>
    <r>
      <rPr>
        <b/>
        <sz val="11"/>
        <rFont val="Calibri"/>
        <family val="2"/>
      </rPr>
      <t>Request for Taxpayer Identification Number and Certification</t>
    </r>
    <r>
      <rPr>
        <sz val="11"/>
        <color indexed="8"/>
        <rFont val="Calibri"/>
        <family val="2"/>
      </rPr>
      <t>, serves two purposes.
1) It is used by third parties to file an information return with the IRS on reportable payments made to others. It requests the name, address, and taxpayer identification information of a taxpayer (usually in the form of a Social Security Number or Employer Identification Number - either number is considered a Taxpayer Identification Number or TIN as it is commonly called).
The form is never actually sent to the IRS, but is maintained by the person who files the information return for verification purposes. The information on the W-9 and the payment made are usually reported on a Form 1096 or 1099.[10]
2) The second purpose is to help the payee avoid backup withholding. The payer must collect withholding taxes on certain reportable payments for the IRS. However, if the payee certifies on the W-9 they are not subject to backup withholding they generally receive the full payment due them from the payer.[9] This is similar to the withholding exemptions certifications found on Form W-4 for employees.</t>
    </r>
  </si>
  <si>
    <t>Fillable PDF version of IRS W-9 Form and Instructions</t>
  </si>
  <si>
    <r>
      <rPr>
        <b/>
        <sz val="10"/>
        <color indexed="8"/>
        <rFont val="Calibri"/>
        <family val="2"/>
      </rPr>
      <t>Completion Guidelines</t>
    </r>
    <r>
      <rPr>
        <sz val="10"/>
        <color indexed="8"/>
        <rFont val="Calibri"/>
        <family val="2"/>
      </rPr>
      <t xml:space="preserve">
Complete Fields 1, 2, 3, 5 and 6
</t>
    </r>
    <r>
      <rPr>
        <b/>
        <sz val="10"/>
        <color indexed="8"/>
        <rFont val="Calibri"/>
        <family val="2"/>
      </rPr>
      <t>Part I</t>
    </r>
    <r>
      <rPr>
        <sz val="10"/>
        <color indexed="8"/>
        <rFont val="Calibri"/>
        <family val="2"/>
      </rPr>
      <t xml:space="preserve">:  Complete SSN or EIN
</t>
    </r>
    <r>
      <rPr>
        <b/>
        <sz val="10"/>
        <color indexed="8"/>
        <rFont val="Calibri"/>
        <family val="2"/>
      </rPr>
      <t>Part II</t>
    </r>
    <r>
      <rPr>
        <sz val="10"/>
        <color indexed="8"/>
        <rFont val="Calibri"/>
        <family val="2"/>
      </rPr>
      <t>:  Sign and Date</t>
    </r>
  </si>
  <si>
    <t>Return to LN France form</t>
  </si>
  <si>
    <t>Return to LN Austria Germany Form</t>
  </si>
  <si>
    <t>Return to LN South Africa Form</t>
  </si>
  <si>
    <t>Not Selected</t>
  </si>
  <si>
    <t>Spain Provinces</t>
  </si>
  <si>
    <t>Canada Provinces</t>
  </si>
  <si>
    <t>MUNICH VAT %</t>
  </si>
  <si>
    <t>MUNCICH FC MEMBER</t>
  </si>
  <si>
    <t>CANADA HST GST QST</t>
  </si>
  <si>
    <t>CURRENCIES</t>
  </si>
  <si>
    <t>CURRENCIES OTHER</t>
  </si>
  <si>
    <t>ACCOUNT TYPE</t>
  </si>
  <si>
    <t>Account Type 口座の種類 (Japan)</t>
  </si>
  <si>
    <t>Account Type 계정 유형 (Korea)</t>
  </si>
  <si>
    <t>Prefecture</t>
  </si>
  <si>
    <t>193 - Intt on Securities 10%</t>
  </si>
  <si>
    <t>Advertisement Agency</t>
  </si>
  <si>
    <t>Unregistered</t>
  </si>
  <si>
    <t>YES - The OPW contract clause must be included in the MSA. If you are unsure if this clause is in the contract contact your Business Unit Legal for a standard template/clause.</t>
  </si>
  <si>
    <t>LN Legal &amp; Professional</t>
  </si>
  <si>
    <t>Australia</t>
  </si>
  <si>
    <t>Cheque</t>
  </si>
  <si>
    <t>Author</t>
  </si>
  <si>
    <t>Provider of Final Services</t>
  </si>
  <si>
    <t>DE7%</t>
  </si>
  <si>
    <t>Afghanistan</t>
  </si>
  <si>
    <t>othercurrency</t>
  </si>
  <si>
    <t>othercurrencyUS</t>
  </si>
  <si>
    <t>othercurrencyNL</t>
  </si>
  <si>
    <t>othercurrencyLTDESP</t>
  </si>
  <si>
    <t xml:space="preserve">11. Beijing </t>
  </si>
  <si>
    <t>励德爱思唯尔信息技术（北京）有限公司  【CHBJ-00CH1】</t>
  </si>
  <si>
    <t>LexisNexis Japan</t>
  </si>
  <si>
    <t>Limited Liability Partnership (LLP)</t>
  </si>
  <si>
    <t>194 - Dividend 10%</t>
  </si>
  <si>
    <t>Commission Corporate</t>
  </si>
  <si>
    <t>Registered</t>
  </si>
  <si>
    <t>LN Legal &amp; Professional - Reed Elsevier Phils, Inc.</t>
  </si>
  <si>
    <t>Contributor</t>
  </si>
  <si>
    <t>Agent/Intermediary</t>
  </si>
  <si>
    <t>Aland Islands</t>
  </si>
  <si>
    <t>Alava (01)</t>
  </si>
  <si>
    <t>Alberta (AB)</t>
  </si>
  <si>
    <t>Ja</t>
  </si>
  <si>
    <t>GBP</t>
  </si>
  <si>
    <t>Checking</t>
  </si>
  <si>
    <t>普通 (savings)</t>
  </si>
  <si>
    <t>보통예금 (savings)</t>
  </si>
  <si>
    <t xml:space="preserve">12 Tianjin </t>
  </si>
  <si>
    <t>励德爱思唯尔信息技术（北京）有限公司上海分公司-LN  【CHSH-00CH2】</t>
  </si>
  <si>
    <t>PatentSite</t>
  </si>
  <si>
    <t xml:space="preserve">1. Hokkaidô </t>
  </si>
  <si>
    <t>Company - Associations/Societies (LN France Only)</t>
  </si>
  <si>
    <t>Foreign Limited Liability</t>
  </si>
  <si>
    <t>194A - Other Intt on Secu 10%</t>
  </si>
  <si>
    <t>Commission Individual</t>
  </si>
  <si>
    <t>Government</t>
  </si>
  <si>
    <t>Not Relevant - Services are not provided in the UK</t>
  </si>
  <si>
    <t>LN South Africa</t>
  </si>
  <si>
    <t>Canada</t>
  </si>
  <si>
    <t>Albania</t>
  </si>
  <si>
    <t>Albacete (02)</t>
  </si>
  <si>
    <t>British Columbia (BC)</t>
  </si>
  <si>
    <t>Nein</t>
  </si>
  <si>
    <t>AED-UAE Dirhams</t>
  </si>
  <si>
    <t>Savings</t>
  </si>
  <si>
    <t>当座 (current)</t>
  </si>
  <si>
    <t>당좌예금 (current)</t>
  </si>
  <si>
    <t xml:space="preserve">13 Hebei </t>
  </si>
  <si>
    <t>励德爱思唯尔信息技术（北京）有限公司上海分公司-GTO【CH22-00CH3】</t>
  </si>
  <si>
    <t>2. Aomori</t>
  </si>
  <si>
    <t>Hindu Undivided Family</t>
  </si>
  <si>
    <t>194C1 - Payment to contractor 1%</t>
  </si>
  <si>
    <t>Contractor Individual</t>
  </si>
  <si>
    <t>Exempt</t>
  </si>
  <si>
    <t>RELX Corporate</t>
  </si>
  <si>
    <t>China</t>
  </si>
  <si>
    <t>Algeria</t>
  </si>
  <si>
    <t>Alicante (03)</t>
  </si>
  <si>
    <t>Manitoba (MB)</t>
  </si>
  <si>
    <t>USD</t>
  </si>
  <si>
    <t>AUD-Australian $</t>
  </si>
  <si>
    <t>ANG-Antillian Guilder</t>
  </si>
  <si>
    <t xml:space="preserve">14 Shanxi </t>
  </si>
  <si>
    <t>励德爱思唯尔信息技术（北京）有限公司广州分公司  【CHGZ-00CH4】</t>
  </si>
  <si>
    <t xml:space="preserve">3. Iwate </t>
  </si>
  <si>
    <t>Local Authority Others</t>
  </si>
  <si>
    <t>194C2 - Payment to contractor 2%</t>
  </si>
  <si>
    <t>Domestic Company</t>
  </si>
  <si>
    <t>SEZ</t>
  </si>
  <si>
    <t>EmailAge</t>
  </si>
  <si>
    <t>DE0%</t>
  </si>
  <si>
    <t>American Samoa</t>
  </si>
  <si>
    <t>1-684</t>
  </si>
  <si>
    <t>Almeria (04)</t>
  </si>
  <si>
    <t>New Brunswick (NB)</t>
  </si>
  <si>
    <t>BRL-Brazil Real</t>
  </si>
  <si>
    <t>ARS-Argentina $</t>
  </si>
  <si>
    <t xml:space="preserve">15 Nei Mongol </t>
  </si>
  <si>
    <t xml:space="preserve">4. Miyagi </t>
  </si>
  <si>
    <t>194C3 - LDC 1.50%</t>
  </si>
  <si>
    <t>Freelancer Individual</t>
  </si>
  <si>
    <t>France</t>
  </si>
  <si>
    <t>Andorra</t>
  </si>
  <si>
    <t>Avila (05)</t>
  </si>
  <si>
    <t>Newfoundland (NF)</t>
  </si>
  <si>
    <t>CAD-Canadian $</t>
  </si>
  <si>
    <t>AUD-Austrialian $</t>
  </si>
  <si>
    <t xml:space="preserve">21 Liaoning </t>
  </si>
  <si>
    <t xml:space="preserve">5. Akita </t>
  </si>
  <si>
    <t>194C4 - LDC 3.50%</t>
  </si>
  <si>
    <t>Foreign Company</t>
  </si>
  <si>
    <t>Germany</t>
  </si>
  <si>
    <t>Angola</t>
  </si>
  <si>
    <t>Badajoz (06)</t>
  </si>
  <si>
    <t>Newfoundland and Labrador (NL)</t>
  </si>
  <si>
    <t>CHF-Swiss Franc</t>
  </si>
  <si>
    <t>AWG-Aruba, Guilders</t>
  </si>
  <si>
    <t xml:space="preserve">22 Jilin </t>
  </si>
  <si>
    <t xml:space="preserve">6. Yamagata </t>
  </si>
  <si>
    <t>194C5 - LDC 0.1%</t>
  </si>
  <si>
    <t>None</t>
  </si>
  <si>
    <t>Hong Kong</t>
  </si>
  <si>
    <t>Anguilla</t>
  </si>
  <si>
    <t>1-264</t>
  </si>
  <si>
    <t>Illes Balears (07)</t>
  </si>
  <si>
    <t>Nova Scotia (NS)</t>
  </si>
  <si>
    <t>CNY-Chinese Yuan</t>
  </si>
  <si>
    <t>BGN-Bulgarian Lev</t>
  </si>
  <si>
    <t xml:space="preserve">23 Heilongjiang </t>
  </si>
  <si>
    <t xml:space="preserve">7. Hukusima </t>
  </si>
  <si>
    <t>194D - Insurance commission 10%</t>
  </si>
  <si>
    <t>Non Resident Indian</t>
  </si>
  <si>
    <t>India</t>
  </si>
  <si>
    <t>Antarctica</t>
  </si>
  <si>
    <t>Barcelona (08)</t>
  </si>
  <si>
    <t>Nunavut (NU)</t>
  </si>
  <si>
    <t>EUR-Euro</t>
  </si>
  <si>
    <t>BHD-Bahraini Dinar</t>
  </si>
  <si>
    <t xml:space="preserve">31 Shanghai </t>
  </si>
  <si>
    <t xml:space="preserve">8. Ibaraki </t>
  </si>
  <si>
    <t>194DA - Payment-LIC 1%</t>
  </si>
  <si>
    <t>Professional Corportate</t>
  </si>
  <si>
    <t>Ireland</t>
  </si>
  <si>
    <t>Antigua and Barbuda</t>
  </si>
  <si>
    <t>1-268</t>
  </si>
  <si>
    <t>Burgos (09)</t>
  </si>
  <si>
    <t>Northwest Territories (NWT)</t>
  </si>
  <si>
    <t>GBP-British Pound</t>
  </si>
  <si>
    <t xml:space="preserve">32 Jiangsu </t>
  </si>
  <si>
    <t xml:space="preserve">9. Totigi </t>
  </si>
  <si>
    <t>Print</t>
  </si>
  <si>
    <t>Immediate Pay</t>
  </si>
  <si>
    <t>194EE - Pymnt for deposit undr NSS 10%</t>
  </si>
  <si>
    <t>Professional Individual</t>
  </si>
  <si>
    <t>Japan</t>
  </si>
  <si>
    <t>Argentina</t>
  </si>
  <si>
    <t>Caceres (10)</t>
  </si>
  <si>
    <t>Ontario (ON)</t>
  </si>
  <si>
    <t>HKD-Hong Kong $</t>
  </si>
  <si>
    <t xml:space="preserve">33 Zhejiang </t>
  </si>
  <si>
    <t xml:space="preserve">10. Gunma </t>
  </si>
  <si>
    <t>Online</t>
  </si>
  <si>
    <t>Net 7</t>
  </si>
  <si>
    <t>194F - PMNT of REPUR of UNT by MF 20%</t>
  </si>
  <si>
    <t>Resident Individual</t>
  </si>
  <si>
    <t>Knowable</t>
  </si>
  <si>
    <t>Armenia</t>
  </si>
  <si>
    <t>Cadiz (11)</t>
  </si>
  <si>
    <t>Prince Edward Island (PE)</t>
  </si>
  <si>
    <t>INR-Indian Rupee</t>
  </si>
  <si>
    <t>CZK-Czech Krona</t>
  </si>
  <si>
    <t xml:space="preserve">34 Anhui </t>
  </si>
  <si>
    <t xml:space="preserve">11. Saitama </t>
  </si>
  <si>
    <t>Neither</t>
  </si>
  <si>
    <t>Net 10</t>
  </si>
  <si>
    <t>194H - Commission or brokerage 5%</t>
  </si>
  <si>
    <t>Rent</t>
  </si>
  <si>
    <t>Knowable Poland (AI Digital Contracts Sp Z.o.o.)</t>
  </si>
  <si>
    <t>Aruba</t>
  </si>
  <si>
    <t>Castellon (12)</t>
  </si>
  <si>
    <t>Quebec (QC)</t>
  </si>
  <si>
    <t>JPY-Japanese Yen</t>
  </si>
  <si>
    <t>DKK-Danish Krona</t>
  </si>
  <si>
    <t xml:space="preserve">35 Fujian </t>
  </si>
  <si>
    <t xml:space="preserve">12. Tiba </t>
  </si>
  <si>
    <t>Net 14</t>
  </si>
  <si>
    <t>194I1 - Rent-Plane &amp; Machinery 2%</t>
  </si>
  <si>
    <t>Rent on Machineries and Equp</t>
  </si>
  <si>
    <t>Korea</t>
  </si>
  <si>
    <t>Ciudad Real (13)</t>
  </si>
  <si>
    <t>Saskatchewan (SK)</t>
  </si>
  <si>
    <t>CAD</t>
  </si>
  <si>
    <t>KRW-Korean Won</t>
  </si>
  <si>
    <t>EEK-Estonia, Krooni</t>
  </si>
  <si>
    <t xml:space="preserve">36 Jiangxi </t>
  </si>
  <si>
    <t xml:space="preserve">13. Tôkyô </t>
  </si>
  <si>
    <t>Net 30</t>
  </si>
  <si>
    <t>194I2 - Rent-L&amp;B F&amp;F 10%</t>
  </si>
  <si>
    <t>Rent Non Individual</t>
  </si>
  <si>
    <t>Malaysia</t>
  </si>
  <si>
    <t>DE19%</t>
  </si>
  <si>
    <t>Cordoba (14)</t>
  </si>
  <si>
    <t>Yukon Territory (YT)</t>
  </si>
  <si>
    <t>MYR-Malaysian Ringgit</t>
  </si>
  <si>
    <t xml:space="preserve">37 Shandong </t>
  </si>
  <si>
    <t xml:space="preserve">14. Kanagawa </t>
  </si>
  <si>
    <t>Net 60</t>
  </si>
  <si>
    <t>194IA - TRF OF LAND OTH THN AGRI 1%</t>
  </si>
  <si>
    <t>Foreign Company - Special WTHD</t>
  </si>
  <si>
    <t>Netherlands</t>
  </si>
  <si>
    <t>Azerbaijan</t>
  </si>
  <si>
    <t>La Coruna (15)</t>
  </si>
  <si>
    <t>NZD-New Zealand $</t>
  </si>
  <si>
    <t>HRK-Croatian Kuna</t>
  </si>
  <si>
    <t xml:space="preserve">41 Henan </t>
  </si>
  <si>
    <t xml:space="preserve">15. Niigata </t>
  </si>
  <si>
    <t>0-50k USD</t>
  </si>
  <si>
    <t>194J1 - Professional Fee 10%</t>
  </si>
  <si>
    <t>Sub-Contractor</t>
  </si>
  <si>
    <t>New Zealand</t>
  </si>
  <si>
    <t>Bahamas</t>
  </si>
  <si>
    <t>1-242</t>
  </si>
  <si>
    <t>Cuenca (16)</t>
  </si>
  <si>
    <t>PHP-Philippine Peso</t>
  </si>
  <si>
    <t>HUF-Hungary Forint</t>
  </si>
  <si>
    <t xml:space="preserve">42 Hubei </t>
  </si>
  <si>
    <t xml:space="preserve">16. Toyama </t>
  </si>
  <si>
    <t>50k-100k USD</t>
  </si>
  <si>
    <t>194J2 - Fee for technical services 10%</t>
  </si>
  <si>
    <t>SOUTH AFRICA FORM:</t>
  </si>
  <si>
    <t>PatentSight Germany</t>
  </si>
  <si>
    <t>Bahrain</t>
  </si>
  <si>
    <t>Girona (17)</t>
  </si>
  <si>
    <t>PLN-Poland Zloty</t>
  </si>
  <si>
    <t>ILS-Israeli Shekel</t>
  </si>
  <si>
    <t xml:space="preserve">43 Hunan </t>
  </si>
  <si>
    <t xml:space="preserve">17. Isikawa </t>
  </si>
  <si>
    <t>100k-250k USD</t>
  </si>
  <si>
    <t>194LA - Acq IMV Property 10%</t>
  </si>
  <si>
    <t>Philippines</t>
  </si>
  <si>
    <t>Bangladesh</t>
  </si>
  <si>
    <t>Granada (18)</t>
  </si>
  <si>
    <t>SEK-Swedish Krona</t>
  </si>
  <si>
    <t xml:space="preserve">44 Guangdong </t>
  </si>
  <si>
    <t xml:space="preserve">18. Hukui </t>
  </si>
  <si>
    <t>Business Size Status:</t>
  </si>
  <si>
    <t>250k-500k USD</t>
  </si>
  <si>
    <t>1951 - Royalty payable 10%</t>
  </si>
  <si>
    <t>LexisNexis Pty Ltd</t>
  </si>
  <si>
    <t>Singapore</t>
  </si>
  <si>
    <t>Barbados</t>
  </si>
  <si>
    <t>1-246</t>
  </si>
  <si>
    <t>Guadalajara (19)</t>
  </si>
  <si>
    <t>SGD-Singapore $</t>
  </si>
  <si>
    <t xml:space="preserve">ISK-Icelandic Krona </t>
  </si>
  <si>
    <t xml:space="preserve">45 Guangxi </t>
  </si>
  <si>
    <t xml:space="preserve">19. Yamanasi </t>
  </si>
  <si>
    <t>500k-1m USD</t>
  </si>
  <si>
    <t>1952 - Other u/s 195 40%</t>
  </si>
  <si>
    <t>LexisNexis South Africa Shared Services Pty Ltd</t>
  </si>
  <si>
    <t>Belarus</t>
  </si>
  <si>
    <t>Gipuzkoa (20)</t>
  </si>
  <si>
    <t>THB-Thailand Baht</t>
  </si>
  <si>
    <t>JOD-Jordan, Dinars</t>
  </si>
  <si>
    <t xml:space="preserve">46 Hainan </t>
  </si>
  <si>
    <t xml:space="preserve">20. Nagano </t>
  </si>
  <si>
    <t>Large Business</t>
  </si>
  <si>
    <t>1m+ USD</t>
  </si>
  <si>
    <t>RELX Pty Ltd</t>
  </si>
  <si>
    <t>Sweden</t>
  </si>
  <si>
    <t>Belgium</t>
  </si>
  <si>
    <t>Huelva (21)</t>
  </si>
  <si>
    <t xml:space="preserve">50 Chongqing </t>
  </si>
  <si>
    <t xml:space="preserve">21. Gihu </t>
  </si>
  <si>
    <t>Fixed Fee</t>
  </si>
  <si>
    <t>Nonprofit Business</t>
  </si>
  <si>
    <t>Switzerland</t>
  </si>
  <si>
    <t>Belize</t>
  </si>
  <si>
    <t>Huesca (22)</t>
  </si>
  <si>
    <t>KES-Kenyan Shilling</t>
  </si>
  <si>
    <t xml:space="preserve">51 Sichuan </t>
  </si>
  <si>
    <t xml:space="preserve">22. Sizuoka </t>
  </si>
  <si>
    <t>Royalty and Fixed Fee</t>
  </si>
  <si>
    <t>Foreign Business (non-US)</t>
  </si>
  <si>
    <t>United Kingdom</t>
  </si>
  <si>
    <t>Benin</t>
  </si>
  <si>
    <t>Jaen (23)</t>
  </si>
  <si>
    <t>KWD-Kuwaiti Dinar</t>
  </si>
  <si>
    <t xml:space="preserve">52 Guizhou </t>
  </si>
  <si>
    <t xml:space="preserve">23. Aiti </t>
  </si>
  <si>
    <t>Form selection for region:</t>
  </si>
  <si>
    <t>United States</t>
  </si>
  <si>
    <t>Bermuda</t>
  </si>
  <si>
    <t>1-441</t>
  </si>
  <si>
    <t>Leon (24)</t>
  </si>
  <si>
    <t>KZT-Kazakhstan Tenge</t>
  </si>
  <si>
    <t xml:space="preserve">53 Yunnan </t>
  </si>
  <si>
    <t xml:space="preserve">24. Mie </t>
  </si>
  <si>
    <t>N/A</t>
  </si>
  <si>
    <t>Bhutan</t>
  </si>
  <si>
    <t>Lleida (25)</t>
  </si>
  <si>
    <t>LKR-Sri Lanka Rupees</t>
  </si>
  <si>
    <t xml:space="preserve">54 Xizang </t>
  </si>
  <si>
    <t xml:space="preserve">25. Siga </t>
  </si>
  <si>
    <t>Rule of Law</t>
  </si>
  <si>
    <t>Bolivia</t>
  </si>
  <si>
    <t>La Rioja (26)</t>
  </si>
  <si>
    <t>LTL-Lithuania, Latai</t>
  </si>
  <si>
    <t xml:space="preserve">61 Shaanxi </t>
  </si>
  <si>
    <t xml:space="preserve">26. Kyôto </t>
  </si>
  <si>
    <t>Bosnia and Herzegovina</t>
  </si>
  <si>
    <t>Lugo (27)</t>
  </si>
  <si>
    <t>LVL-Latvian Lats</t>
  </si>
  <si>
    <t xml:space="preserve">62 Gansu </t>
  </si>
  <si>
    <t xml:space="preserve">27. Ôsaka </t>
  </si>
  <si>
    <t>Botswana</t>
  </si>
  <si>
    <t>Madrid (28)</t>
  </si>
  <si>
    <t>MAD-Moroccan Dirham</t>
  </si>
  <si>
    <t xml:space="preserve">63 Qinghai </t>
  </si>
  <si>
    <t xml:space="preserve">28. Hyôgo </t>
  </si>
  <si>
    <t>Bouvet Island</t>
  </si>
  <si>
    <t>Malaga (29)</t>
  </si>
  <si>
    <t>MWK-Malawi, Kwachas</t>
  </si>
  <si>
    <t xml:space="preserve">64 Ningxia </t>
  </si>
  <si>
    <t xml:space="preserve">29. Nara </t>
  </si>
  <si>
    <t>Brazil</t>
  </si>
  <si>
    <t>Murcia (30)</t>
  </si>
  <si>
    <t>MXN-Mexican Peso</t>
  </si>
  <si>
    <t xml:space="preserve">65 Xinjiang </t>
  </si>
  <si>
    <t>30. Wakayama</t>
  </si>
  <si>
    <t>British Indian Ocean Territory</t>
  </si>
  <si>
    <t>Navarra (31)</t>
  </si>
  <si>
    <t>NOK-Norwegian Krona</t>
  </si>
  <si>
    <t xml:space="preserve">71 Taiwan </t>
  </si>
  <si>
    <t xml:space="preserve">31. Tottori </t>
  </si>
  <si>
    <t>Brunei Darussalam</t>
  </si>
  <si>
    <t>Ourense (32)</t>
  </si>
  <si>
    <t>IDR-Indonesian Rupiah</t>
  </si>
  <si>
    <t xml:space="preserve">91 Hong Kong </t>
  </si>
  <si>
    <t xml:space="preserve">32. Simane </t>
  </si>
  <si>
    <t>Bulgaria</t>
  </si>
  <si>
    <t>Asturias (33)</t>
  </si>
  <si>
    <t>OMR-Oman Rials</t>
  </si>
  <si>
    <t>92 Macao</t>
  </si>
  <si>
    <t xml:space="preserve">33. Okayama </t>
  </si>
  <si>
    <t>Burkina Faso</t>
  </si>
  <si>
    <t>Palencia (34)</t>
  </si>
  <si>
    <t xml:space="preserve">34. Hirosima </t>
  </si>
  <si>
    <t>Burundi</t>
  </si>
  <si>
    <t>Las Palmas (35)</t>
  </si>
  <si>
    <t>PKR-Pakistan Rupees</t>
  </si>
  <si>
    <t xml:space="preserve">35. Yamaguti </t>
  </si>
  <si>
    <t>Cambodia</t>
  </si>
  <si>
    <t>Pontevedra (36)</t>
  </si>
  <si>
    <t xml:space="preserve">36. Tokusima </t>
  </si>
  <si>
    <t>Cameroon</t>
  </si>
  <si>
    <t>Salamanca (37)</t>
  </si>
  <si>
    <t>QAR-Qatari Riyal</t>
  </si>
  <si>
    <t xml:space="preserve">37. Kagawa </t>
  </si>
  <si>
    <t>Santa Cruz de Tenerife (38)</t>
  </si>
  <si>
    <t>RON-Romanian Leu</t>
  </si>
  <si>
    <t xml:space="preserve">38. Ehime </t>
  </si>
  <si>
    <t>Cape Verde</t>
  </si>
  <si>
    <t>Cantabria (39)</t>
  </si>
  <si>
    <t>RSD-Serbian Dinar</t>
  </si>
  <si>
    <t xml:space="preserve">39. Kôti </t>
  </si>
  <si>
    <t>Cayman Islands</t>
  </si>
  <si>
    <t>1-345</t>
  </si>
  <si>
    <t>Segovia (40)</t>
  </si>
  <si>
    <t xml:space="preserve">RUB-Russian Ruble </t>
  </si>
  <si>
    <t xml:space="preserve">41. Saga </t>
  </si>
  <si>
    <t>Central African Republic</t>
  </si>
  <si>
    <t>Sevilla (41)</t>
  </si>
  <si>
    <t>SAR-Saudi Riyal</t>
  </si>
  <si>
    <t xml:space="preserve">42. Nagasaki </t>
  </si>
  <si>
    <t>Chad</t>
  </si>
  <si>
    <t>Soria (42)</t>
  </si>
  <si>
    <t xml:space="preserve">43. Kumamoto </t>
  </si>
  <si>
    <t>Chile</t>
  </si>
  <si>
    <t>Tarragona (43)</t>
  </si>
  <si>
    <t xml:space="preserve">44. Ôita </t>
  </si>
  <si>
    <t>0-50k ZAR</t>
  </si>
  <si>
    <t>Teruel (44)</t>
  </si>
  <si>
    <t xml:space="preserve">45. Miyazaki </t>
  </si>
  <si>
    <t>50k-100k ZAR</t>
  </si>
  <si>
    <t>Christmas Island</t>
  </si>
  <si>
    <t>Toledo (45)</t>
  </si>
  <si>
    <t>TND-Tunisian Dinar</t>
  </si>
  <si>
    <t xml:space="preserve">46. Kagosima </t>
  </si>
  <si>
    <t>PROCUREMENT BU:</t>
  </si>
  <si>
    <t>ORGANIZATION TYPE:</t>
  </si>
  <si>
    <t>100k-250k ZAR</t>
  </si>
  <si>
    <t>Cocos (Keeling) Islands</t>
  </si>
  <si>
    <t>Valencia (46)</t>
  </si>
  <si>
    <t>TRY-Turkish Lira</t>
  </si>
  <si>
    <t xml:space="preserve">47. Okinawa </t>
  </si>
  <si>
    <t>250k-500k ZAR</t>
  </si>
  <si>
    <t>Colombia</t>
  </si>
  <si>
    <t>Valladolid (47)</t>
  </si>
  <si>
    <t>TZS-Tanzania Shillings</t>
  </si>
  <si>
    <t xml:space="preserve">48. Chiba </t>
  </si>
  <si>
    <t>COR AU Business Unit</t>
  </si>
  <si>
    <t>500k-1m ZAR</t>
  </si>
  <si>
    <t>Comoros</t>
  </si>
  <si>
    <t>Bizkaia (48)</t>
  </si>
  <si>
    <t>TWD-Taiwan Dollar</t>
  </si>
  <si>
    <t xml:space="preserve">49. Nagoya </t>
  </si>
  <si>
    <t>COR CN Business Unit</t>
  </si>
  <si>
    <t>1m+ ZAR</t>
  </si>
  <si>
    <t>Congo, The Democratic Republic of the</t>
  </si>
  <si>
    <t>Zamora (49)</t>
  </si>
  <si>
    <t xml:space="preserve">50. Osaka </t>
  </si>
  <si>
    <t>COR DE Business Unit</t>
  </si>
  <si>
    <t>Cook Islands</t>
  </si>
  <si>
    <t>Zaragoza (50)</t>
  </si>
  <si>
    <t xml:space="preserve">51. Shizuoka </t>
  </si>
  <si>
    <t>COR FR Business Unit</t>
  </si>
  <si>
    <t>BUSINESS CLASSIFICATION:</t>
  </si>
  <si>
    <t>Costa Rica</t>
  </si>
  <si>
    <t>Ceuta (51)</t>
  </si>
  <si>
    <t>COR HK HKD Business Unit</t>
  </si>
  <si>
    <t>ORGANIZATION TYPE (SOUTH AFRICA ONLY):</t>
  </si>
  <si>
    <t>Cote d'Ivoire</t>
  </si>
  <si>
    <t>Melilla (52)</t>
  </si>
  <si>
    <t>COR IE Business Unit</t>
  </si>
  <si>
    <t>Croatia</t>
  </si>
  <si>
    <t>COR IN Business Unit</t>
  </si>
  <si>
    <t>Cyprus</t>
  </si>
  <si>
    <t>COR JP Business Unit</t>
  </si>
  <si>
    <t>Sole Proprietary</t>
  </si>
  <si>
    <t>Czech Republic</t>
  </si>
  <si>
    <t>COR NL Business Unit</t>
  </si>
  <si>
    <t>Sole Proprietary (Individual)</t>
  </si>
  <si>
    <t>Denmark</t>
  </si>
  <si>
    <t>COR SG Business Unit</t>
  </si>
  <si>
    <t>Public</t>
  </si>
  <si>
    <t>Djibouti</t>
  </si>
  <si>
    <t>COR TH Business Unit</t>
  </si>
  <si>
    <t>Private (Pty) Ltd</t>
  </si>
  <si>
    <t>Dominica</t>
  </si>
  <si>
    <t>1-767</t>
  </si>
  <si>
    <t>COR TW Business Unit</t>
  </si>
  <si>
    <t>Close Corporation (CC)</t>
  </si>
  <si>
    <t>Dominican Republic</t>
  </si>
  <si>
    <t>1-809, 1-829, 1-849</t>
  </si>
  <si>
    <t>COR UK GBP Business Unit</t>
  </si>
  <si>
    <t>Ecuador</t>
  </si>
  <si>
    <t>COR UK USD Business Unit</t>
  </si>
  <si>
    <t>Egypt</t>
  </si>
  <si>
    <t>COR US Business Unit</t>
  </si>
  <si>
    <t>El Salvador</t>
  </si>
  <si>
    <t>LEX AE Business Unit</t>
  </si>
  <si>
    <t>Equatorial Guinea</t>
  </si>
  <si>
    <t>LEX AT Business Unit</t>
  </si>
  <si>
    <t>Eritrea</t>
  </si>
  <si>
    <t>LEX AU Business Unit</t>
  </si>
  <si>
    <t>Estonia</t>
  </si>
  <si>
    <t>LEX AU USD Business Unit</t>
  </si>
  <si>
    <t>Ethiopia</t>
  </si>
  <si>
    <t>LEX BE Business Unit</t>
  </si>
  <si>
    <t>Falkland Islands (Malvinas)</t>
  </si>
  <si>
    <t>LEX BR Business Unit</t>
  </si>
  <si>
    <t>Faroe Islands</t>
  </si>
  <si>
    <t>LEX CA Business Unit</t>
  </si>
  <si>
    <t>Fiji</t>
  </si>
  <si>
    <t>LEX CN Business Unit</t>
  </si>
  <si>
    <t>Finland</t>
  </si>
  <si>
    <t>LEX DE Business Unit</t>
  </si>
  <si>
    <t>FRANCE FORM:</t>
  </si>
  <si>
    <t>LEX FR Business Unit</t>
  </si>
  <si>
    <t>French Guiana</t>
  </si>
  <si>
    <t>LEX HK CNY Business Unit</t>
  </si>
  <si>
    <t>French Polynesia</t>
  </si>
  <si>
    <t>LEX HK HKD Business Unit</t>
  </si>
  <si>
    <t>French Southern Territories</t>
  </si>
  <si>
    <t>LEX HK TWD Business Unit</t>
  </si>
  <si>
    <t>Gabon</t>
  </si>
  <si>
    <t>LEX HK USD Business Unit</t>
  </si>
  <si>
    <t>Gambia</t>
  </si>
  <si>
    <t>LEX IN Business Unit</t>
  </si>
  <si>
    <t>Georgia</t>
  </si>
  <si>
    <t>LEX JP Business Unit</t>
  </si>
  <si>
    <t>LEX KR KRW Business Unit</t>
  </si>
  <si>
    <t>Ghana</t>
  </si>
  <si>
    <t>LEX KR USD Business Unit</t>
  </si>
  <si>
    <t>Gibraltar</t>
  </si>
  <si>
    <t>LEX MY Business Unit</t>
  </si>
  <si>
    <t>Greece</t>
  </si>
  <si>
    <t>LEX NL Business Unit</t>
  </si>
  <si>
    <t>Greenland</t>
  </si>
  <si>
    <t>LEX NZ Business Unit</t>
  </si>
  <si>
    <t>Grenada</t>
  </si>
  <si>
    <t>1-473</t>
  </si>
  <si>
    <t>LEX PH PHP Business Unit</t>
  </si>
  <si>
    <t>Guadeloupe</t>
  </si>
  <si>
    <t>LEX PL Business Unit</t>
  </si>
  <si>
    <t>Guam</t>
  </si>
  <si>
    <t>1-671</t>
  </si>
  <si>
    <t>LEX QA Business Unit</t>
  </si>
  <si>
    <t>Guatemala</t>
  </si>
  <si>
    <t>LEX SG Business Unit</t>
  </si>
  <si>
    <t>Guernsey</t>
  </si>
  <si>
    <t>44-1481</t>
  </si>
  <si>
    <t>LEX SG PHP Business Unit</t>
  </si>
  <si>
    <t>Guinea</t>
  </si>
  <si>
    <t>LEX UK CNY Business Unit</t>
  </si>
  <si>
    <t>Guinea-Bissau</t>
  </si>
  <si>
    <t>LEX UK EUR Business Unit</t>
  </si>
  <si>
    <t>Guyana</t>
  </si>
  <si>
    <t>LEX UK GBP Business Unit</t>
  </si>
  <si>
    <t>Haiti</t>
  </si>
  <si>
    <t>LEX UK HKD Business Unit</t>
  </si>
  <si>
    <t>Heard Island and McDonald Islands</t>
  </si>
  <si>
    <t>LEX US Business Unit</t>
  </si>
  <si>
    <t>AUSTRIA GERMANY FORM:</t>
  </si>
  <si>
    <t>Honduras</t>
  </si>
  <si>
    <t>LEX US GBP Business Unit</t>
  </si>
  <si>
    <t>Hungary</t>
  </si>
  <si>
    <t>Iceland</t>
  </si>
  <si>
    <t>Indonesia</t>
  </si>
  <si>
    <t>Iraq</t>
  </si>
  <si>
    <t>Isle of Man</t>
  </si>
  <si>
    <t>44-1624</t>
  </si>
  <si>
    <t>Israel</t>
  </si>
  <si>
    <t>Italy</t>
  </si>
  <si>
    <t>Jamaica</t>
  </si>
  <si>
    <t>1-876</t>
  </si>
  <si>
    <t>Jersey</t>
  </si>
  <si>
    <t>44-1534</t>
  </si>
  <si>
    <t>Jersey (Channel Islands)</t>
  </si>
  <si>
    <t>Jordan</t>
  </si>
  <si>
    <t>Kazakhstan</t>
  </si>
  <si>
    <t>Kenya</t>
  </si>
  <si>
    <t>Kiribati</t>
  </si>
  <si>
    <t>Kuwait</t>
  </si>
  <si>
    <t>Kyrgyzstan</t>
  </si>
  <si>
    <t>Laos</t>
  </si>
  <si>
    <t>Latvia</t>
  </si>
  <si>
    <t>Lebanon</t>
  </si>
  <si>
    <t>Lesotho</t>
  </si>
  <si>
    <t>Liberia</t>
  </si>
  <si>
    <t>Libya</t>
  </si>
  <si>
    <t>Liechtenstein</t>
  </si>
  <si>
    <t>Lithuania</t>
  </si>
  <si>
    <t>Luxembourg</t>
  </si>
  <si>
    <t>Macau</t>
  </si>
  <si>
    <t>Macedonia</t>
  </si>
  <si>
    <t>Madagascar</t>
  </si>
  <si>
    <t>Malawi</t>
  </si>
  <si>
    <t>Maldives</t>
  </si>
  <si>
    <t>Mali</t>
  </si>
  <si>
    <t>Malta</t>
  </si>
  <si>
    <t>Marshall Islands</t>
  </si>
  <si>
    <t>Martinique</t>
  </si>
  <si>
    <t>Mauritania</t>
  </si>
  <si>
    <t>Mauritius</t>
  </si>
  <si>
    <t>Mayotte</t>
  </si>
  <si>
    <t>Mexico</t>
  </si>
  <si>
    <t>Micronesia</t>
  </si>
  <si>
    <t>Moldova</t>
  </si>
  <si>
    <t>Monaco</t>
  </si>
  <si>
    <t>Mongolia</t>
  </si>
  <si>
    <t>Montenegro</t>
  </si>
  <si>
    <t>Montserrat</t>
  </si>
  <si>
    <t>1-664</t>
  </si>
  <si>
    <t>Morocco</t>
  </si>
  <si>
    <t>Mozambique</t>
  </si>
  <si>
    <t>Myanmar</t>
  </si>
  <si>
    <t>Namibia</t>
  </si>
  <si>
    <t>Nauru</t>
  </si>
  <si>
    <t>Nepal</t>
  </si>
  <si>
    <t>Netherlands Antilles</t>
  </si>
  <si>
    <t>New Caledonia</t>
  </si>
  <si>
    <t>Nicaragua</t>
  </si>
  <si>
    <t>Niger</t>
  </si>
  <si>
    <t>Nigeria</t>
  </si>
  <si>
    <t>Niue</t>
  </si>
  <si>
    <t>Norfolk Island</t>
  </si>
  <si>
    <t>North Korea</t>
  </si>
  <si>
    <t>Northern Mariana Islands</t>
  </si>
  <si>
    <t>1-670</t>
  </si>
  <si>
    <t>Norway</t>
  </si>
  <si>
    <t>Oman</t>
  </si>
  <si>
    <t>Pakistan</t>
  </si>
  <si>
    <t>Palau</t>
  </si>
  <si>
    <t>Palestine</t>
  </si>
  <si>
    <t>Panama</t>
  </si>
  <si>
    <t>Papua New Guinea</t>
  </si>
  <si>
    <t>Paraguay</t>
  </si>
  <si>
    <t>Peru</t>
  </si>
  <si>
    <t>Pitcairn</t>
  </si>
  <si>
    <t>Poland</t>
  </si>
  <si>
    <t>Portugal</t>
  </si>
  <si>
    <t>Puerto Rico</t>
  </si>
  <si>
    <t>1-787, 1-939</t>
  </si>
  <si>
    <t>Qatar</t>
  </si>
  <si>
    <t>Reunion</t>
  </si>
  <si>
    <t>Romania</t>
  </si>
  <si>
    <t>Russia</t>
  </si>
  <si>
    <t>Rwanda</t>
  </si>
  <si>
    <t>Saint Barthelemy</t>
  </si>
  <si>
    <t>Saint Helena</t>
  </si>
  <si>
    <t>Saint Kitts and Nevis</t>
  </si>
  <si>
    <t>1-869</t>
  </si>
  <si>
    <t>Saint Lucia</t>
  </si>
  <si>
    <t>1-758</t>
  </si>
  <si>
    <t>Saint Martin</t>
  </si>
  <si>
    <t>Saint Pierre and Miquelon</t>
  </si>
  <si>
    <t>Saint Vincent and the Grenadines</t>
  </si>
  <si>
    <t>1-784</t>
  </si>
  <si>
    <t>Samoa</t>
  </si>
  <si>
    <t>San Marino</t>
  </si>
  <si>
    <t>Sao Tome and Principe</t>
  </si>
  <si>
    <t>Sark (Channel Islands)</t>
  </si>
  <si>
    <t>Saudi Arabia</t>
  </si>
  <si>
    <t>Senegal</t>
  </si>
  <si>
    <t>Serbia</t>
  </si>
  <si>
    <t>Seychelles</t>
  </si>
  <si>
    <t>Sierra Leone</t>
  </si>
  <si>
    <t>Slovakia</t>
  </si>
  <si>
    <t>Slovenia</t>
  </si>
  <si>
    <t>Solomon Islands</t>
  </si>
  <si>
    <t>Somalia</t>
  </si>
  <si>
    <t>South Georgia and the South Sandwich Islands</t>
  </si>
  <si>
    <t>South Korea</t>
  </si>
  <si>
    <t>Spain</t>
  </si>
  <si>
    <t>Sri Lanka</t>
  </si>
  <si>
    <t>Sudan</t>
  </si>
  <si>
    <t>Suriname</t>
  </si>
  <si>
    <t>Svalbard and Jan Mayen</t>
  </si>
  <si>
    <t>Swaziland</t>
  </si>
  <si>
    <t>Syria</t>
  </si>
  <si>
    <t>Taiwan</t>
  </si>
  <si>
    <t>Tajikistan</t>
  </si>
  <si>
    <t>Tanzania</t>
  </si>
  <si>
    <t>Thailand</t>
  </si>
  <si>
    <t>Timor-Leste</t>
  </si>
  <si>
    <t>Togo</t>
  </si>
  <si>
    <t>Tokelau</t>
  </si>
  <si>
    <t>Tonga</t>
  </si>
  <si>
    <t>Trinidad and Tobago</t>
  </si>
  <si>
    <t>1-868</t>
  </si>
  <si>
    <t>Tunisia</t>
  </si>
  <si>
    <t>Turkey</t>
  </si>
  <si>
    <t>Turkmenistan</t>
  </si>
  <si>
    <t>Turks and Caicos Islands</t>
  </si>
  <si>
    <t>1-649</t>
  </si>
  <si>
    <t>Tuvalu</t>
  </si>
  <si>
    <t>Uganda</t>
  </si>
  <si>
    <t>Ukraine</t>
  </si>
  <si>
    <t>United Arab Emirates</t>
  </si>
  <si>
    <t>United States Minor Outlying Islands</t>
  </si>
  <si>
    <t>Uruguay</t>
  </si>
  <si>
    <t>Uzbekistan</t>
  </si>
  <si>
    <t>Vanuatu</t>
  </si>
  <si>
    <t>Vatican</t>
  </si>
  <si>
    <t>Venezuela</t>
  </si>
  <si>
    <t>Vietnam</t>
  </si>
  <si>
    <t>Virgin Islands, British</t>
  </si>
  <si>
    <t>1-284</t>
  </si>
  <si>
    <t>Virgin Islands, U.S.</t>
  </si>
  <si>
    <t>1-340</t>
  </si>
  <si>
    <t>Wallis and Futuna</t>
  </si>
  <si>
    <t>Western Sahara</t>
  </si>
  <si>
    <t>Yemen</t>
  </si>
  <si>
    <t>Zambia</t>
  </si>
  <si>
    <t>Zimbabwe</t>
  </si>
  <si>
    <t>AUSTRIA FORM</t>
  </si>
  <si>
    <t>blank</t>
  </si>
  <si>
    <t>Multiple author type (text)</t>
  </si>
  <si>
    <t>ledgercount</t>
  </si>
  <si>
    <t>Language Ledgers</t>
  </si>
  <si>
    <t>ledgerdisplay</t>
  </si>
  <si>
    <t>Local Language</t>
  </si>
  <si>
    <t>Tax Form Requirements (text)</t>
  </si>
  <si>
    <t>Currency Lists</t>
  </si>
  <si>
    <t>Other Currencies</t>
  </si>
  <si>
    <t>Bank Code1</t>
  </si>
  <si>
    <t>Bank Code2</t>
  </si>
  <si>
    <t>Sort/Branch1&amp;2</t>
  </si>
  <si>
    <t>Sort/Branch REQUIRED 1&amp;2</t>
  </si>
  <si>
    <t>IBAN 1&amp;2</t>
  </si>
  <si>
    <t>IBAN REQUIRED 1&amp;2</t>
  </si>
  <si>
    <t>Payment Terms Statement</t>
  </si>
  <si>
    <t>Employee Supplier Type</t>
  </si>
  <si>
    <t>Non Canada Check</t>
  </si>
  <si>
    <t>Signed Agreement in Place</t>
  </si>
  <si>
    <t>Author Supplier Type</t>
  </si>
  <si>
    <t>CIC Commissions</t>
  </si>
  <si>
    <t>Asia</t>
  </si>
  <si>
    <t>Pacific</t>
  </si>
  <si>
    <t>North America</t>
  </si>
  <si>
    <t>Royalty Michie MB Flat Fee US UK</t>
  </si>
  <si>
    <t>INDIRECT ALIGNMENTS</t>
  </si>
  <si>
    <t>Company or Individual</t>
  </si>
  <si>
    <t>I/C Location</t>
  </si>
  <si>
    <t>I/C Spend</t>
  </si>
  <si>
    <t>I/C Agreement</t>
  </si>
  <si>
    <t>Ledger List</t>
  </si>
  <si>
    <t>US Service Location</t>
  </si>
  <si>
    <t>Frankfurt Service</t>
  </si>
  <si>
    <t>ProvinceList</t>
  </si>
  <si>
    <t>Munich VAT</t>
  </si>
  <si>
    <t>munich fc member</t>
  </si>
  <si>
    <t>HST</t>
  </si>
  <si>
    <t>GST</t>
  </si>
  <si>
    <t>QST</t>
  </si>
  <si>
    <t>french service type</t>
  </si>
  <si>
    <t>FRENCH AGESSA MDA</t>
  </si>
  <si>
    <t>SPAINVAT</t>
  </si>
  <si>
    <t>SPAINWHTAXEXP</t>
  </si>
  <si>
    <t>SPAINTAXRES</t>
  </si>
  <si>
    <t>OTHERCURRENCY</t>
  </si>
  <si>
    <t>ACCOUNT TYPE 1</t>
  </si>
  <si>
    <t>ACCOUNT TYPE 2</t>
  </si>
  <si>
    <t>PAY TERMS &amp; CLASSIFICATIONS</t>
  </si>
  <si>
    <t xml:space="preserve">AUT </t>
  </si>
  <si>
    <t xml:space="preserve">CRV </t>
  </si>
  <si>
    <t xml:space="preserve">EMP </t>
  </si>
  <si>
    <t xml:space="preserve">MBR </t>
  </si>
  <si>
    <t>Net 45</t>
  </si>
  <si>
    <t xml:space="preserve">REG </t>
  </si>
  <si>
    <t xml:space="preserve">ROY (Pay Group RY) </t>
  </si>
  <si>
    <t>NET 41</t>
  </si>
  <si>
    <t xml:space="preserve">UTI </t>
  </si>
  <si>
    <t xml:space="preserve">CIC </t>
  </si>
  <si>
    <t xml:space="preserve">ECR </t>
  </si>
  <si>
    <t xml:space="preserve">PRI (Pay Group PR) </t>
  </si>
  <si>
    <t xml:space="preserve">AUT (Handling AU) </t>
  </si>
  <si>
    <t xml:space="preserve">AUT (Handling RZ) </t>
  </si>
  <si>
    <t>LGL</t>
  </si>
  <si>
    <t>RNO</t>
  </si>
  <si>
    <t>MSM</t>
  </si>
  <si>
    <t>REMUNERATIONS:</t>
  </si>
  <si>
    <t>MATTHEW BENDER OR MICHIE:</t>
  </si>
  <si>
    <t>CANADA PRINT OR ONLINE:</t>
  </si>
  <si>
    <t>EUROPEAN UNION COUNTRIES:</t>
  </si>
  <si>
    <t>Czechia</t>
  </si>
  <si>
    <t>Version</t>
  </si>
  <si>
    <t>Date Published</t>
  </si>
  <si>
    <t>Changes Made</t>
  </si>
  <si>
    <t xml:space="preserve">Multiple updates based on user needs and suggestions. </t>
  </si>
  <si>
    <t>Changes to Japanese wording and updates for royalty team.</t>
  </si>
  <si>
    <t>Oct/Nov 2020</t>
  </si>
  <si>
    <t>Update logo. Add question for Canada Royalty (print/online). Add additional languages to Canada tax questions. 
Add Flat Fee, MB, and Michie terms and supplier types.
Added note to instructions explaining only address details need to be entered for address change.
Added row to select contracted terms other than Net 45.</t>
  </si>
  <si>
    <t>Nov 2020</t>
  </si>
  <si>
    <t>Fixed some formatting issues. Made changes to pay method, payment terms, and contract rows. Added comment in column N advising where to stop if address change only.</t>
  </si>
  <si>
    <t>Added Emailage and RELX Corp to business regions. Updated Invoicing Requirements tab to use global document.</t>
  </si>
  <si>
    <t>Added LGL Supplier Type</t>
  </si>
  <si>
    <t>Updated business division to add both RELX Corp and RELX Group. Added Police Reports as a product being provided and hid Vendorin rows if this is selected. Added BRL currency to selections. Updated name of form. Added BU selection for RELX UK. Added RNO supplier type. Updated Pacific GST/VAT wording.</t>
  </si>
  <si>
    <t>Added additional logos. Changed LexisNexis to RELX Group in some of the wording. Neither has been added to the Flat Fee Michie drop down. Removed Royalties from type of product drop down. Corrected formula for when "last 4 digits" question appears. India tax questions will no longer appear when a CRV vendor type. Made updates to the instructions.</t>
  </si>
  <si>
    <t xml:space="preserve">Changed formula to allow 'Location of Service' question to also appear when Goods and Services is selected. </t>
  </si>
  <si>
    <t>Added questions for bank account currency and invoice currency.</t>
  </si>
  <si>
    <t>Row 21 for preferred payment currency will no longer appear for US and Emailage regions. Updated wording on row 128 and added drop down. Added statement advising invoice currency must match bank account currency.</t>
  </si>
  <si>
    <t>Changed formula in row 63 so that State appears when postal country of Australia is selected. Disabled row 134 Sort/Branch code when bank country of Australia is selected. Moved the Australian BSB number to be under account number. Changed the Yes/No drop down to include Select Yes or No. Added question Method of Remuneration when Australian Author is selected.</t>
  </si>
  <si>
    <t>Move Vendorin statement under bank currency rows.</t>
  </si>
  <si>
    <t>Removed Royalty supplier type and added Method of Remuneration drop down for US and Canada Authors. Removed questions asking if Canada Print or Online. Removed Michie and Matthew Benders questions. Added two vendor ID statements for Flat Fee and Michie/Matthew Bender. Added LN PatentSight Germany to Business Division and additional countries to Business Region drop down.</t>
  </si>
  <si>
    <t xml:space="preserve">Changed "Payable/Remit to" to "Supplier/Trading/Individual Name". Added question "With 50 employees or less". Regular vendors with less than 50 employees will be Net 30. </t>
  </si>
  <si>
    <t>Added Freelancer to Net 30 terms for UK if 50 employees or less.</t>
  </si>
  <si>
    <t>Removed Method of Remuneration and added back in questions regarding Flat Fee and Royalty (Matthew Bender and Michie) and Canada Print or Online.</t>
  </si>
  <si>
    <t>Changed wording of '50 employees or less' question.</t>
  </si>
  <si>
    <t xml:space="preserve">Added instructions note explaining additional tabs. Added PatentSight Germany as a Region. Added 'Micro Small and Medium Enterprise - for India only' to supplier types. Added statement advising when MSME certificate is required. Removed page breaks. </t>
  </si>
  <si>
    <t>Added back in Royalty supplier type for US and Canada and changed the wording to Royalty - Licensing (for US and Canada only).</t>
  </si>
  <si>
    <t>Added comment 'Not applicable to US Authors' to the questions 'signed agreement' and 'procurement contract' as well as statement regarding invoicing requirements. Added question for Business Size Status when United States region is selected. Also added tab for link to form to be completed and returned.</t>
  </si>
  <si>
    <t>Added IDR-Indonesian Rupiah to list of currencies. Removed several rows when Employee supplier type is selected.</t>
  </si>
  <si>
    <t>Added 'applicable to US-based suppliers or individuals' to Business Size Status question. Hid rows under internal use section for Tax Withholding Information and Tax Form Requirements when New Zealand region and New Zealand tax country are selected.</t>
  </si>
  <si>
    <t>Fixed links to other tabs. Added LN Risk Solutions - TruNarrative to Business Divisions drop down. Added Canada Online and Print Royalty to drop down for Canada Royalty.</t>
  </si>
  <si>
    <t xml:space="preserve">Changed font color on questions to black. Added question asking if company or individual. Company size question only appears when Company is selected (for all supplier types). Removed statement regarding standard Net 45 payment terms when Author supplier type is selected. </t>
  </si>
  <si>
    <t xml:space="preserve">Replaced Vendorin form with Corcentric branded form. </t>
  </si>
  <si>
    <t xml:space="preserve">Updated currencies to only be what is available in PS. Added tax registration number for Japan suppliers. </t>
  </si>
  <si>
    <t xml:space="preserve">Added Caselex (CEMEA PS) as a Business Division selection. </t>
  </si>
  <si>
    <t>Added LN France Form.</t>
  </si>
  <si>
    <t>Replace Reed Tech Offeror Reps and Certs Form with updated version. Changed terms for India MSME to Net 7. Added BU's to the division selections on the France form. Also created a separate Global Supplier Form for only the France form. Removed Risk references.</t>
  </si>
  <si>
    <t>Updated Form and LN France Form with Oracle Fusion data. Also created new LN Austria Form.</t>
  </si>
  <si>
    <t xml:space="preserve">France Form - hid some rows when Editors &amp; Authors supplier type is chosen. Added BEE questions to Form tab for LN South Africa. Created new tab for form dedicated to LN South Africa. </t>
  </si>
  <si>
    <t>Added dedicated email address to South Africa form - procurement.sa@lexisnexis.co.za.</t>
  </si>
  <si>
    <t xml:space="preserve">Revised German translations as advised by Barbara Koll. </t>
  </si>
  <si>
    <t xml:space="preserve">Fixed the formating in row 39 of LN Austria Germany Form. Changed the Products and Services question on the South Africa form to a drop down list. </t>
  </si>
  <si>
    <t>Austria Form - made changes as requested</t>
  </si>
  <si>
    <t>All forms - removed certain sections for Editors &amp; Authors</t>
  </si>
  <si>
    <t>Removed macros (convert to PDF button) and added note advising how to save Excel file as PDF.</t>
  </si>
  <si>
    <t>Content/Inhalte  (Erwerb, Kauf oder Lizenzierung von Daten oder Inhalten)</t>
  </si>
  <si>
    <t>Jana Eisenstädter</t>
  </si>
  <si>
    <t>jana.eisenstaedter@lexisnexis.at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</si>
</sst>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dd\ mmmm\ yyyy"/>
    <numFmt numFmtId="165" formatCode="dd\-mmm\-yyyy"/>
    <numFmt numFmtId="166" formatCode="#."/>
    <numFmt numFmtId="167" formatCode="0.0"/>
  </numFmts>
  <fonts count="76">
    <font>
      <sz val="11"/>
      <color theme="1"/>
      <name val="Calibri"/>
      <family val="2"/>
      <scheme val="minor"/>
    </font>
    <font>
      <sz val="11"/>
      <color rgb="FF53565A"/>
      <name val="Calibri"/>
      <family val="2"/>
      <scheme val="minor"/>
    </font>
    <font>
      <sz val="11"/>
      <name val="Calibri"/>
      <family val="2"/>
      <scheme val="minor"/>
    </font>
    <font>
      <sz val="14"/>
      <color rgb="FFC00000"/>
      <name val="Calibri"/>
      <family val="2"/>
      <scheme val="minor"/>
    </font>
    <font>
      <sz val="14"/>
      <color rgb="FF53565A"/>
      <name val="Calibri"/>
      <family val="2"/>
      <scheme val="minor"/>
    </font>
    <font>
      <b/>
      <sz val="9"/>
      <name val="Calibri"/>
      <family val="2"/>
      <scheme val="minor"/>
    </font>
    <font>
      <b/>
      <sz val="11"/>
      <color theme="1"/>
      <name val="Calibri"/>
      <family val="2"/>
      <scheme val="minor"/>
    </font>
    <font>
      <sz val="10"/>
      <color theme="1"/>
      <name val="Calibri"/>
      <family val="2"/>
      <scheme val="minor"/>
    </font>
    <font>
      <sz val="10"/>
      <color rgb="FF53565A"/>
      <name val="Calibri"/>
      <family val="2"/>
      <scheme val="minor"/>
    </font>
    <font>
      <sz val="11"/>
      <color theme="1" tint="4.9989318521683403E-2"/>
      <name val="Calibri"/>
      <family val="2"/>
      <scheme val="minor"/>
    </font>
    <font>
      <b/>
      <sz val="11"/>
      <color rgb="FFFF6C00"/>
      <name val="Calibri"/>
      <family val="2"/>
      <scheme val="minor"/>
    </font>
    <font>
      <u/>
      <sz val="11"/>
      <color theme="10"/>
      <name val="Calibri"/>
      <family val="2"/>
      <scheme val="minor"/>
    </font>
    <font>
      <sz val="10"/>
      <name val="Arial"/>
      <family val="2"/>
    </font>
    <font>
      <sz val="10"/>
      <name val="Calibri"/>
      <family val="2"/>
      <scheme val="minor"/>
    </font>
    <font>
      <sz val="11"/>
      <color theme="0"/>
      <name val="Calibri"/>
      <family val="2"/>
      <scheme val="minor"/>
    </font>
    <font>
      <sz val="9"/>
      <name val="Calibri"/>
      <family val="2"/>
      <scheme val="minor"/>
    </font>
    <font>
      <sz val="9"/>
      <color theme="1"/>
      <name val="Calibri"/>
      <family val="2"/>
      <scheme val="minor"/>
    </font>
    <font>
      <b/>
      <sz val="12"/>
      <color rgb="FFC00000"/>
      <name val="Calibri"/>
      <family val="2"/>
      <scheme val="minor"/>
    </font>
    <font>
      <sz val="8"/>
      <name val="Calibri"/>
      <family val="2"/>
      <scheme val="minor"/>
    </font>
    <font>
      <sz val="8"/>
      <color theme="1"/>
      <name val="Calibri"/>
      <family val="2"/>
      <scheme val="minor"/>
    </font>
    <font>
      <b/>
      <sz val="10"/>
      <color theme="1"/>
      <name val="Calibri"/>
      <family val="2"/>
      <scheme val="minor"/>
    </font>
    <font>
      <sz val="12"/>
      <name val="Calibri"/>
      <family val="2"/>
      <scheme val="minor"/>
    </font>
    <font>
      <b/>
      <sz val="11"/>
      <name val="Calibri"/>
      <family val="2"/>
      <scheme val="minor"/>
    </font>
    <font>
      <u/>
      <sz val="9.9"/>
      <color theme="10"/>
      <name val="Calibri"/>
      <family val="2"/>
    </font>
    <font>
      <sz val="11"/>
      <color rgb="FF00B050"/>
      <name val="Calibri"/>
      <family val="2"/>
      <scheme val="minor"/>
    </font>
    <font>
      <sz val="10"/>
      <color rgb="FFFF0000"/>
      <name val="Calibri"/>
      <family val="2"/>
      <scheme val="minor"/>
    </font>
    <font>
      <sz val="10"/>
      <color theme="1"/>
      <name val="EYInterstate Light"/>
    </font>
    <font>
      <sz val="11"/>
      <color rgb="FFFF0000"/>
      <name val="Calibri"/>
      <family val="2"/>
      <scheme val="minor"/>
    </font>
    <font>
      <b/>
      <sz val="11"/>
      <color theme="2" tint="-0.749992370372631"/>
      <name val="Calibri"/>
      <family val="2"/>
      <scheme val="minor"/>
    </font>
    <font>
      <sz val="11"/>
      <color theme="2" tint="-0.749992370372631"/>
      <name val="Calibri"/>
      <family val="2"/>
      <scheme val="minor"/>
    </font>
    <font>
      <i/>
      <sz val="10"/>
      <color rgb="FFFF0000"/>
      <name val="EYInterstate Light"/>
    </font>
    <font>
      <sz val="10"/>
      <color indexed="8"/>
      <name val="Arial"/>
      <family val="2"/>
    </font>
    <font>
      <b/>
      <i/>
      <sz val="11"/>
      <color theme="2" tint="-0.749992370372631"/>
      <name val="Calibri"/>
      <family val="2"/>
      <scheme val="minor"/>
    </font>
    <font>
      <b/>
      <sz val="11"/>
      <name val="Calibri"/>
      <family val="2"/>
    </font>
    <font>
      <sz val="11"/>
      <color indexed="8"/>
      <name val="Calibri"/>
      <family val="2"/>
    </font>
    <font>
      <b/>
      <sz val="16"/>
      <name val="Calibri"/>
      <family val="2"/>
      <scheme val="minor"/>
    </font>
    <font>
      <u/>
      <sz val="11"/>
      <color theme="10"/>
      <name val="Calibri"/>
      <family val="2"/>
    </font>
    <font>
      <b/>
      <u/>
      <sz val="9.9"/>
      <color theme="10"/>
      <name val="Calibri"/>
      <family val="2"/>
      <scheme val="minor"/>
    </font>
    <font>
      <sz val="10"/>
      <color indexed="8"/>
      <name val="Calibri"/>
      <family val="2"/>
    </font>
    <font>
      <b/>
      <sz val="10"/>
      <color indexed="8"/>
      <name val="Calibri"/>
      <family val="2"/>
    </font>
    <font>
      <b/>
      <sz val="10"/>
      <color rgb="FFFF0000"/>
      <name val="Calibri"/>
      <family val="2"/>
      <scheme val="minor"/>
    </font>
    <font>
      <sz val="10"/>
      <color theme="1"/>
      <name val="Calibri"/>
      <family val="3"/>
      <charset val="128"/>
      <scheme val="minor"/>
    </font>
    <font>
      <sz val="14"/>
      <color theme="0"/>
      <name val="Calibri"/>
      <family val="2"/>
      <scheme val="minor"/>
    </font>
    <font>
      <b/>
      <sz val="10"/>
      <color rgb="FFC00000"/>
      <name val="Calibri"/>
      <family val="2"/>
      <scheme val="minor"/>
    </font>
    <font>
      <b/>
      <sz val="12"/>
      <color theme="1"/>
      <name val="Calibri"/>
      <family val="2"/>
      <scheme val="minor"/>
    </font>
    <font>
      <b/>
      <sz val="12"/>
      <color theme="5" tint="-0.249977111117893"/>
      <name val="Calibri"/>
      <family val="2"/>
      <scheme val="minor"/>
    </font>
    <font>
      <b/>
      <sz val="14"/>
      <color theme="1"/>
      <name val="Calibri"/>
      <family val="2"/>
      <scheme val="minor"/>
    </font>
    <font>
      <sz val="8"/>
      <color rgb="FF000000"/>
      <name val="Arial"/>
      <family val="2"/>
    </font>
    <font>
      <sz val="11"/>
      <color rgb="FFC00000"/>
      <name val="Calibri"/>
      <family val="2"/>
      <scheme val="minor"/>
    </font>
    <font>
      <u/>
      <sz val="11"/>
      <color theme="4" tint="0.59999389629810485"/>
      <name val="Calibri"/>
      <family val="2"/>
      <scheme val="minor"/>
    </font>
    <font>
      <b/>
      <sz val="11"/>
      <color rgb="FFFF0000"/>
      <name val="Calibri"/>
      <family val="2"/>
      <scheme val="minor"/>
    </font>
    <font>
      <b/>
      <u/>
      <sz val="11"/>
      <color theme="1"/>
      <name val="Calibri"/>
      <family val="2"/>
      <scheme val="minor"/>
    </font>
    <font>
      <b/>
      <i/>
      <sz val="11"/>
      <color theme="1"/>
      <name val="Calibri"/>
      <family val="2"/>
      <scheme val="minor"/>
    </font>
    <font>
      <b/>
      <sz val="10"/>
      <name val="Calibri"/>
      <family val="2"/>
      <scheme val="minor"/>
    </font>
    <font>
      <b/>
      <sz val="12"/>
      <name val="Calibri"/>
      <family val="2"/>
      <scheme val="minor"/>
    </font>
    <font>
      <b/>
      <sz val="11"/>
      <color rgb="FFC00000"/>
      <name val="Calibri"/>
      <family val="2"/>
      <scheme val="minor"/>
    </font>
    <font>
      <u/>
      <sz val="12"/>
      <color theme="10"/>
      <name val="Calibri"/>
      <family val="2"/>
      <scheme val="minor"/>
    </font>
    <font>
      <i/>
      <sz val="10"/>
      <color theme="1"/>
      <name val="Calibri"/>
      <family val="2"/>
      <scheme val="minor"/>
    </font>
    <font>
      <i/>
      <sz val="11"/>
      <color theme="1"/>
      <name val="Calibri"/>
      <family val="2"/>
      <scheme val="minor"/>
    </font>
    <font>
      <b/>
      <sz val="12"/>
      <color rgb="FF53565A"/>
      <name val="Calibri"/>
      <family val="2"/>
      <scheme val="minor"/>
    </font>
    <font>
      <sz val="9"/>
      <color indexed="81"/>
      <name val="Tahoma"/>
      <family val="2"/>
    </font>
    <font>
      <b/>
      <sz val="9"/>
      <color indexed="81"/>
      <name val="Tahoma"/>
      <family val="2"/>
    </font>
    <font>
      <b/>
      <i/>
      <sz val="11"/>
      <color rgb="FFC00000"/>
      <name val="Calibri"/>
      <family val="2"/>
      <scheme val="minor"/>
    </font>
    <font>
      <b/>
      <i/>
      <u/>
      <sz val="11"/>
      <color theme="1"/>
      <name val="Calibri"/>
      <family val="2"/>
      <scheme val="minor"/>
    </font>
    <font>
      <sz val="14"/>
      <color rgb="FFFF0000"/>
      <name val="Calibri"/>
      <family val="2"/>
      <scheme val="minor"/>
    </font>
    <font>
      <b/>
      <i/>
      <sz val="11"/>
      <color rgb="FF002060"/>
      <name val="Calibri"/>
      <family val="2"/>
      <scheme val="minor"/>
    </font>
    <font>
      <b/>
      <sz val="11"/>
      <color rgb="FF002060"/>
      <name val="Calibri"/>
      <family val="2"/>
      <scheme val="minor"/>
    </font>
    <font>
      <b/>
      <sz val="9"/>
      <color theme="1"/>
      <name val="Calibri"/>
      <family val="2"/>
      <scheme val="minor"/>
    </font>
    <font>
      <b/>
      <sz val="11"/>
      <color theme="3"/>
      <name val="Calibri"/>
      <family val="2"/>
      <scheme val="minor"/>
    </font>
    <font>
      <u/>
      <sz val="11"/>
      <color theme="1"/>
      <name val="Calibri"/>
      <family val="2"/>
      <scheme val="minor"/>
    </font>
    <font>
      <b/>
      <sz val="10"/>
      <color theme="1"/>
      <name val="Calibri"/>
      <family val="2"/>
    </font>
    <font>
      <sz val="9"/>
      <color indexed="81"/>
      <name val="Tahoma"/>
      <charset val="1"/>
    </font>
    <font>
      <b/>
      <sz val="9"/>
      <color indexed="81"/>
      <name val="Tahoma"/>
      <charset val="1"/>
    </font>
    <font>
      <b/>
      <u/>
      <sz val="11"/>
      <color rgb="FFFF0000"/>
      <name val="Calibri"/>
      <family val="2"/>
      <scheme val="minor"/>
    </font>
    <font>
      <b/>
      <i/>
      <u/>
      <sz val="11"/>
      <color rgb="FFFF0000"/>
      <name val="Calibri"/>
      <family val="2"/>
      <scheme val="minor"/>
    </font>
    <font>
      <i/>
      <sz val="11"/>
      <color rgb="FFFF0000"/>
      <name val="Calibri"/>
      <family val="2"/>
      <scheme val="minor"/>
    </font>
  </fonts>
  <fills count="19">
    <fill>
      <patternFill patternType="none"/>
    </fill>
    <fill>
      <patternFill patternType="gray125"/>
    </fill>
    <fill>
      <patternFill patternType="solid">
        <fgColor theme="0" tint="-0.14999847407452621"/>
        <bgColor indexed="64"/>
      </patternFill>
    </fill>
    <fill>
      <patternFill patternType="solid">
        <fgColor theme="0" tint="-0.249977111117893"/>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9" tint="0.39997558519241921"/>
        <bgColor indexed="64"/>
      </patternFill>
    </fill>
    <fill>
      <patternFill patternType="solid">
        <fgColor theme="0"/>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0" tint="-0.34998626667073579"/>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3" tint="0.79998168889431442"/>
        <bgColor indexed="64"/>
      </patternFill>
    </fill>
  </fills>
  <borders count="158">
    <border>
      <left/>
      <right/>
      <top/>
      <bottom/>
      <diagonal/>
    </border>
    <border>
      <left style="hair">
        <color rgb="FF53565A"/>
      </left>
      <right style="hair">
        <color rgb="FF53565A"/>
      </right>
      <top style="hair">
        <color rgb="FF53565A"/>
      </top>
      <bottom style="hair">
        <color rgb="FF53565A"/>
      </bottom>
      <diagonal/>
    </border>
    <border>
      <left/>
      <right style="hair">
        <color rgb="FF53565A"/>
      </right>
      <top style="hair">
        <color rgb="FF53565A"/>
      </top>
      <bottom style="hair">
        <color rgb="FF53565A"/>
      </bottom>
      <diagonal/>
    </border>
    <border>
      <left style="hair">
        <color rgb="FF53565A"/>
      </left>
      <right/>
      <top style="hair">
        <color rgb="FF53565A"/>
      </top>
      <bottom style="hair">
        <color rgb="FF53565A"/>
      </bottom>
      <diagonal/>
    </border>
    <border>
      <left/>
      <right/>
      <top style="hair">
        <color rgb="FF53565A"/>
      </top>
      <bottom style="hair">
        <color rgb="FF53565A"/>
      </bottom>
      <diagonal/>
    </border>
    <border>
      <left/>
      <right style="hair">
        <color rgb="FF53565A"/>
      </right>
      <top/>
      <bottom style="hair">
        <color rgb="FF53565A"/>
      </bottom>
      <diagonal/>
    </border>
    <border>
      <left/>
      <right style="hair">
        <color rgb="FF53565A"/>
      </right>
      <top style="hair">
        <color rgb="FF53565A"/>
      </top>
      <bottom/>
      <diagonal/>
    </border>
    <border>
      <left style="hair">
        <color rgb="FF53565A"/>
      </left>
      <right style="hair">
        <color rgb="FF53565A"/>
      </right>
      <top style="hair">
        <color rgb="FF53565A"/>
      </top>
      <bottom/>
      <diagonal/>
    </border>
    <border>
      <left style="hair">
        <color rgb="FF53565A"/>
      </left>
      <right style="hair">
        <color rgb="FF53565A"/>
      </right>
      <top/>
      <bottom style="hair">
        <color rgb="FF53565A"/>
      </bottom>
      <diagonal/>
    </border>
    <border>
      <left/>
      <right/>
      <top style="hair">
        <color rgb="FF53565A"/>
      </top>
      <bottom/>
      <diagonal/>
    </border>
    <border>
      <left/>
      <right/>
      <top/>
      <bottom style="hair">
        <color rgb="FF53565A"/>
      </bottom>
      <diagonal/>
    </border>
    <border>
      <left style="hair">
        <color rgb="FF53565A"/>
      </left>
      <right/>
      <top/>
      <bottom style="hair">
        <color rgb="FF53565A"/>
      </bottom>
      <diagonal/>
    </border>
    <border>
      <left/>
      <right/>
      <top style="hair">
        <color rgb="FF53565A"/>
      </top>
      <bottom style="medium">
        <color rgb="FF53565A"/>
      </bottom>
      <diagonal/>
    </border>
    <border>
      <left/>
      <right/>
      <top style="medium">
        <color rgb="FF53565A"/>
      </top>
      <bottom style="hair">
        <color rgb="FF53565A"/>
      </bottom>
      <diagonal/>
    </border>
    <border>
      <left style="medium">
        <color auto="1"/>
      </left>
      <right/>
      <top/>
      <bottom/>
      <diagonal/>
    </border>
    <border>
      <left/>
      <right style="medium">
        <color auto="1"/>
      </right>
      <top/>
      <bottom/>
      <diagonal/>
    </border>
    <border>
      <left style="medium">
        <color indexed="64"/>
      </left>
      <right/>
      <top style="medium">
        <color indexed="64"/>
      </top>
      <bottom/>
      <diagonal/>
    </border>
    <border>
      <left/>
      <right/>
      <top style="medium">
        <color indexed="64"/>
      </top>
      <bottom/>
      <diagonal/>
    </border>
    <border>
      <left/>
      <right/>
      <top style="hair">
        <color theme="0"/>
      </top>
      <bottom style="hair">
        <color theme="0"/>
      </bottom>
      <diagonal/>
    </border>
    <border>
      <left/>
      <right/>
      <top style="hair">
        <color theme="0"/>
      </top>
      <bottom/>
      <diagonal/>
    </border>
    <border>
      <left style="medium">
        <color rgb="FF53565A"/>
      </left>
      <right/>
      <top/>
      <bottom style="hair">
        <color rgb="FF53565A"/>
      </bottom>
      <diagonal/>
    </border>
    <border>
      <left/>
      <right style="medium">
        <color rgb="FF53565A"/>
      </right>
      <top/>
      <bottom style="hair">
        <color rgb="FF53565A"/>
      </bottom>
      <diagonal/>
    </border>
    <border>
      <left style="medium">
        <color rgb="FF53565A"/>
      </left>
      <right/>
      <top style="hair">
        <color rgb="FF53565A"/>
      </top>
      <bottom style="hair">
        <color rgb="FF53565A"/>
      </bottom>
      <diagonal/>
    </border>
    <border>
      <left/>
      <right style="medium">
        <color rgb="FF53565A"/>
      </right>
      <top style="hair">
        <color rgb="FF53565A"/>
      </top>
      <bottom style="hair">
        <color rgb="FF53565A"/>
      </bottom>
      <diagonal/>
    </border>
    <border>
      <left style="medium">
        <color rgb="FF53565A"/>
      </left>
      <right/>
      <top style="hair">
        <color rgb="FF53565A"/>
      </top>
      <bottom/>
      <diagonal/>
    </border>
    <border>
      <left style="medium">
        <color rgb="FF53565A"/>
      </left>
      <right/>
      <top style="hair">
        <color rgb="FF53565A"/>
      </top>
      <bottom style="medium">
        <color rgb="FF53565A"/>
      </bottom>
      <diagonal/>
    </border>
    <border>
      <left/>
      <right style="medium">
        <color rgb="FF53565A"/>
      </right>
      <top style="hair">
        <color rgb="FF53565A"/>
      </top>
      <bottom style="medium">
        <color rgb="FF53565A"/>
      </bottom>
      <diagonal/>
    </border>
    <border>
      <left style="medium">
        <color rgb="FF53565A"/>
      </left>
      <right/>
      <top style="medium">
        <color rgb="FF53565A"/>
      </top>
      <bottom style="hair">
        <color rgb="FF53565A"/>
      </bottom>
      <diagonal/>
    </border>
    <border>
      <left/>
      <right style="medium">
        <color rgb="FF53565A"/>
      </right>
      <top style="medium">
        <color rgb="FF53565A"/>
      </top>
      <bottom style="hair">
        <color rgb="FF53565A"/>
      </bottom>
      <diagonal/>
    </border>
    <border>
      <left/>
      <right style="medium">
        <color rgb="FF53565A"/>
      </right>
      <top style="hair">
        <color rgb="FF53565A"/>
      </top>
      <bottom/>
      <diagonal/>
    </border>
    <border>
      <left/>
      <right/>
      <top style="thin">
        <color theme="0"/>
      </top>
      <bottom style="thin">
        <color theme="0"/>
      </bottom>
      <diagonal/>
    </border>
    <border>
      <left style="medium">
        <color indexed="64"/>
      </left>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right style="medium">
        <color theme="0" tint="-0.34998626667073579"/>
      </right>
      <top style="medium">
        <color theme="0" tint="-0.34998626667073579"/>
      </top>
      <bottom/>
      <diagonal/>
    </border>
    <border>
      <left style="medium">
        <color theme="0" tint="-0.34998626667073579"/>
      </left>
      <right/>
      <top/>
      <bottom/>
      <diagonal/>
    </border>
    <border>
      <left/>
      <right style="medium">
        <color theme="0" tint="-0.34998626667073579"/>
      </right>
      <top/>
      <bottom/>
      <diagonal/>
    </border>
    <border>
      <left style="medium">
        <color theme="0" tint="-0.34998626667073579"/>
      </left>
      <right/>
      <top/>
      <bottom style="medium">
        <color theme="0" tint="-0.34998626667073579"/>
      </bottom>
      <diagonal/>
    </border>
    <border>
      <left/>
      <right/>
      <top/>
      <bottom style="medium">
        <color theme="0" tint="-0.34998626667073579"/>
      </bottom>
      <diagonal/>
    </border>
    <border>
      <left/>
      <right style="medium">
        <color theme="0" tint="-0.34998626667073579"/>
      </right>
      <top/>
      <bottom style="medium">
        <color theme="0" tint="-0.34998626667073579"/>
      </bottom>
      <diagonal/>
    </border>
    <border>
      <left/>
      <right/>
      <top style="medium">
        <color rgb="FF53565A"/>
      </top>
      <bottom style="medium">
        <color rgb="FF53565A"/>
      </bottom>
      <diagonal/>
    </border>
    <border>
      <left/>
      <right/>
      <top style="hair">
        <color auto="1"/>
      </top>
      <bottom style="hair">
        <color auto="1"/>
      </bottom>
      <diagonal/>
    </border>
    <border>
      <left style="medium">
        <color auto="1"/>
      </left>
      <right/>
      <top style="hair">
        <color auto="1"/>
      </top>
      <bottom style="hair">
        <color auto="1"/>
      </bottom>
      <diagonal/>
    </border>
    <border>
      <left/>
      <right style="medium">
        <color auto="1"/>
      </right>
      <top style="hair">
        <color auto="1"/>
      </top>
      <bottom style="hair">
        <color auto="1"/>
      </bottom>
      <diagonal/>
    </border>
    <border>
      <left style="thin">
        <color rgb="FF53565A"/>
      </left>
      <right style="hair">
        <color rgb="FF53565A"/>
      </right>
      <top/>
      <bottom/>
      <diagonal/>
    </border>
    <border>
      <left style="hair">
        <color rgb="FF53565A"/>
      </left>
      <right style="hair">
        <color rgb="FF53565A"/>
      </right>
      <top/>
      <bottom/>
      <diagonal/>
    </border>
    <border>
      <left style="hair">
        <color rgb="FF53565A"/>
      </left>
      <right style="thin">
        <color rgb="FF53565A"/>
      </right>
      <top/>
      <bottom/>
      <diagonal/>
    </border>
    <border>
      <left style="hair">
        <color rgb="FF53565A"/>
      </left>
      <right/>
      <top style="thin">
        <color indexed="64"/>
      </top>
      <bottom style="hair">
        <color rgb="FF53565A"/>
      </bottom>
      <diagonal/>
    </border>
    <border>
      <left/>
      <right/>
      <top style="thin">
        <color indexed="64"/>
      </top>
      <bottom style="hair">
        <color rgb="FF53565A"/>
      </bottom>
      <diagonal/>
    </border>
    <border>
      <left style="medium">
        <color rgb="FF53565A"/>
      </left>
      <right/>
      <top style="medium">
        <color rgb="FF53565A"/>
      </top>
      <bottom style="medium">
        <color rgb="FF53565A"/>
      </bottom>
      <diagonal/>
    </border>
    <border>
      <left/>
      <right/>
      <top style="medium">
        <color rgb="FF53565A"/>
      </top>
      <bottom/>
      <diagonal/>
    </border>
    <border>
      <left/>
      <right/>
      <top/>
      <bottom style="medium">
        <color rgb="FF53565A"/>
      </bottom>
      <diagonal/>
    </border>
    <border>
      <left style="hair">
        <color rgb="FF53565A"/>
      </left>
      <right/>
      <top style="hair">
        <color auto="1"/>
      </top>
      <bottom style="hair">
        <color rgb="FF53565A"/>
      </bottom>
      <diagonal/>
    </border>
    <border>
      <left/>
      <right/>
      <top style="hair">
        <color auto="1"/>
      </top>
      <bottom style="hair">
        <color rgb="FF53565A"/>
      </bottom>
      <diagonal/>
    </border>
    <border>
      <left/>
      <right style="hair">
        <color rgb="FF53565A"/>
      </right>
      <top style="hair">
        <color auto="1"/>
      </top>
      <bottom style="hair">
        <color rgb="FF53565A"/>
      </bottom>
      <diagonal/>
    </border>
    <border>
      <left style="hair">
        <color rgb="FF53565A"/>
      </left>
      <right style="medium">
        <color rgb="FF53565A"/>
      </right>
      <top style="hair">
        <color rgb="FF53565A"/>
      </top>
      <bottom style="hair">
        <color rgb="FF53565A"/>
      </bottom>
      <diagonal/>
    </border>
    <border>
      <left style="thin">
        <color indexed="64"/>
      </left>
      <right/>
      <top style="hair">
        <color theme="0"/>
      </top>
      <bottom style="hair">
        <color theme="0"/>
      </bottom>
      <diagonal/>
    </border>
    <border>
      <left/>
      <right style="thin">
        <color indexed="64"/>
      </right>
      <top style="hair">
        <color theme="0"/>
      </top>
      <bottom style="hair">
        <color theme="0"/>
      </bottom>
      <diagonal/>
    </border>
    <border>
      <left style="thin">
        <color indexed="64"/>
      </left>
      <right/>
      <top style="hair">
        <color theme="0"/>
      </top>
      <bottom/>
      <diagonal/>
    </border>
    <border>
      <left/>
      <right style="thin">
        <color indexed="64"/>
      </right>
      <top style="hair">
        <color theme="0"/>
      </top>
      <bottom/>
      <diagonal/>
    </border>
    <border>
      <left style="thin">
        <color indexed="64"/>
      </left>
      <right/>
      <top style="hair">
        <color theme="0"/>
      </top>
      <bottom style="thin">
        <color indexed="64"/>
      </bottom>
      <diagonal/>
    </border>
    <border>
      <left/>
      <right/>
      <top style="hair">
        <color theme="0"/>
      </top>
      <bottom style="thin">
        <color indexed="64"/>
      </bottom>
      <diagonal/>
    </border>
    <border>
      <left/>
      <right style="thin">
        <color indexed="64"/>
      </right>
      <top style="hair">
        <color theme="0"/>
      </top>
      <bottom style="thin">
        <color indexed="64"/>
      </bottom>
      <diagonal/>
    </border>
    <border>
      <left/>
      <right style="medium">
        <color rgb="FF53565A"/>
      </right>
      <top style="medium">
        <color rgb="FF53565A"/>
      </top>
      <bottom style="medium">
        <color rgb="FF53565A"/>
      </bottom>
      <diagonal/>
    </border>
    <border>
      <left/>
      <right style="thin">
        <color indexed="64"/>
      </right>
      <top style="hair">
        <color rgb="FF53565A"/>
      </top>
      <bottom style="hair">
        <color rgb="FF53565A"/>
      </bottom>
      <diagonal/>
    </border>
    <border>
      <left/>
      <right/>
      <top style="hair">
        <color rgb="FF53565A"/>
      </top>
      <bottom style="thin">
        <color indexed="64"/>
      </bottom>
      <diagonal/>
    </border>
    <border>
      <left/>
      <right style="medium">
        <color rgb="FF53565A"/>
      </right>
      <top style="hair">
        <color rgb="FF53565A"/>
      </top>
      <bottom style="thin">
        <color indexed="64"/>
      </bottom>
      <diagonal/>
    </border>
    <border>
      <left style="hair">
        <color rgb="FF53565A"/>
      </left>
      <right/>
      <top style="hair">
        <color rgb="FF53565A"/>
      </top>
      <bottom style="thin">
        <color indexed="64"/>
      </bottom>
      <diagonal/>
    </border>
    <border>
      <left style="hair">
        <color rgb="FF53565A"/>
      </left>
      <right/>
      <top style="medium">
        <color rgb="FF53565A"/>
      </top>
      <bottom style="hair">
        <color rgb="FF53565A"/>
      </bottom>
      <diagonal/>
    </border>
    <border>
      <left/>
      <right style="medium">
        <color rgb="FF53565A"/>
      </right>
      <top style="thin">
        <color indexed="64"/>
      </top>
      <bottom style="hair">
        <color rgb="FF53565A"/>
      </bottom>
      <diagonal/>
    </border>
    <border>
      <left style="hair">
        <color rgb="FF53565A"/>
      </left>
      <right/>
      <top style="hair">
        <color rgb="FF53565A"/>
      </top>
      <bottom style="hair">
        <color auto="1"/>
      </bottom>
      <diagonal/>
    </border>
    <border>
      <left/>
      <right/>
      <top style="hair">
        <color rgb="FF53565A"/>
      </top>
      <bottom style="hair">
        <color auto="1"/>
      </bottom>
      <diagonal/>
    </border>
    <border>
      <left/>
      <right style="medium">
        <color rgb="FF53565A"/>
      </right>
      <top style="hair">
        <color rgb="FF53565A"/>
      </top>
      <bottom style="hair">
        <color auto="1"/>
      </bottom>
      <diagonal/>
    </border>
    <border>
      <left style="medium">
        <color rgb="FF53565A"/>
      </left>
      <right style="hair">
        <color rgb="FF53565A"/>
      </right>
      <top style="medium">
        <color rgb="FF53565A"/>
      </top>
      <bottom style="medium">
        <color rgb="FF53565A"/>
      </bottom>
      <diagonal/>
    </border>
    <border>
      <left style="hair">
        <color rgb="FF53565A"/>
      </left>
      <right style="hair">
        <color rgb="FF53565A"/>
      </right>
      <top style="medium">
        <color rgb="FF53565A"/>
      </top>
      <bottom style="medium">
        <color rgb="FF53565A"/>
      </bottom>
      <diagonal/>
    </border>
    <border>
      <left style="hair">
        <color rgb="FF53565A"/>
      </left>
      <right style="medium">
        <color rgb="FF53565A"/>
      </right>
      <top style="medium">
        <color rgb="FF53565A"/>
      </top>
      <bottom style="medium">
        <color rgb="FF53565A"/>
      </bottom>
      <diagonal/>
    </border>
    <border>
      <left style="hair">
        <color rgb="FF53565A"/>
      </left>
      <right/>
      <top style="hair">
        <color rgb="FF53565A"/>
      </top>
      <bottom/>
      <diagonal/>
    </border>
    <border>
      <left style="thin">
        <color indexed="64"/>
      </left>
      <right/>
      <top/>
      <bottom style="hair">
        <color theme="0"/>
      </bottom>
      <diagonal/>
    </border>
    <border>
      <left/>
      <right/>
      <top/>
      <bottom style="hair">
        <color theme="0"/>
      </bottom>
      <diagonal/>
    </border>
    <border>
      <left/>
      <right style="thin">
        <color indexed="64"/>
      </right>
      <top/>
      <bottom style="hair">
        <color theme="0"/>
      </bottom>
      <diagonal/>
    </border>
    <border>
      <left style="medium">
        <color indexed="64"/>
      </left>
      <right style="hair">
        <color rgb="FF53565A"/>
      </right>
      <top style="medium">
        <color indexed="64"/>
      </top>
      <bottom style="medium">
        <color indexed="64"/>
      </bottom>
      <diagonal/>
    </border>
    <border>
      <left style="hair">
        <color rgb="FF53565A"/>
      </left>
      <right style="hair">
        <color rgb="FF53565A"/>
      </right>
      <top style="medium">
        <color indexed="64"/>
      </top>
      <bottom style="medium">
        <color indexed="64"/>
      </bottom>
      <diagonal/>
    </border>
    <border>
      <left style="hair">
        <color rgb="FF53565A"/>
      </left>
      <right style="medium">
        <color indexed="64"/>
      </right>
      <top style="medium">
        <color indexed="64"/>
      </top>
      <bottom style="medium">
        <color indexed="64"/>
      </bottom>
      <diagonal/>
    </border>
    <border>
      <left style="medium">
        <color rgb="FF53565A"/>
      </left>
      <right/>
      <top/>
      <bottom style="medium">
        <color rgb="FF53565A"/>
      </bottom>
      <diagonal/>
    </border>
    <border>
      <left/>
      <right style="medium">
        <color rgb="FF53565A"/>
      </right>
      <top/>
      <bottom style="medium">
        <color rgb="FF53565A"/>
      </bottom>
      <diagonal/>
    </border>
    <border>
      <left style="medium">
        <color indexed="64"/>
      </left>
      <right style="hair">
        <color rgb="FF53565A"/>
      </right>
      <top style="medium">
        <color rgb="FF53565A"/>
      </top>
      <bottom style="medium">
        <color indexed="64"/>
      </bottom>
      <diagonal/>
    </border>
    <border>
      <left style="hair">
        <color rgb="FF53565A"/>
      </left>
      <right style="hair">
        <color rgb="FF53565A"/>
      </right>
      <top style="medium">
        <color rgb="FF53565A"/>
      </top>
      <bottom style="medium">
        <color indexed="64"/>
      </bottom>
      <diagonal/>
    </border>
    <border>
      <left style="hair">
        <color rgb="FF53565A"/>
      </left>
      <right style="medium">
        <color indexed="64"/>
      </right>
      <top style="medium">
        <color rgb="FF53565A"/>
      </top>
      <bottom style="medium">
        <color indexed="64"/>
      </bottom>
      <diagonal/>
    </border>
    <border>
      <left style="thin">
        <color indexed="64"/>
      </left>
      <right/>
      <top style="thin">
        <color indexed="64"/>
      </top>
      <bottom style="thin">
        <color indexed="64"/>
      </bottom>
      <diagonal/>
    </border>
    <border>
      <left style="medium">
        <color auto="1"/>
      </left>
      <right/>
      <top style="thin">
        <color indexed="64"/>
      </top>
      <bottom/>
      <diagonal/>
    </border>
    <border>
      <left/>
      <right style="medium">
        <color auto="1"/>
      </right>
      <top style="thin">
        <color indexed="64"/>
      </top>
      <bottom/>
      <diagonal/>
    </border>
    <border>
      <left style="hair">
        <color rgb="FF53565A"/>
      </left>
      <right/>
      <top style="medium">
        <color indexed="64"/>
      </top>
      <bottom style="medium">
        <color rgb="FF53565A"/>
      </bottom>
      <diagonal/>
    </border>
    <border>
      <left/>
      <right/>
      <top style="medium">
        <color indexed="64"/>
      </top>
      <bottom style="medium">
        <color rgb="FF53565A"/>
      </bottom>
      <diagonal/>
    </border>
    <border>
      <left/>
      <right style="medium">
        <color rgb="FF53565A"/>
      </right>
      <top/>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hair">
        <color rgb="FF53565A"/>
      </right>
      <top style="medium">
        <color indexed="64"/>
      </top>
      <bottom style="medium">
        <color rgb="FF53565A"/>
      </bottom>
      <diagonal/>
    </border>
    <border>
      <left style="thin">
        <color indexed="64"/>
      </left>
      <right style="thin">
        <color indexed="64"/>
      </right>
      <top/>
      <bottom/>
      <diagonal/>
    </border>
    <border>
      <left style="medium">
        <color auto="1"/>
      </left>
      <right/>
      <top style="hair">
        <color auto="1"/>
      </top>
      <bottom/>
      <diagonal/>
    </border>
    <border>
      <left/>
      <right style="medium">
        <color auto="1"/>
      </right>
      <top style="hair">
        <color auto="1"/>
      </top>
      <bottom/>
      <diagonal/>
    </border>
    <border>
      <left style="medium">
        <color rgb="FF53565A"/>
      </left>
      <right/>
      <top/>
      <bottom/>
      <diagonal/>
    </border>
    <border>
      <left/>
      <right style="hair">
        <color rgb="FF53565A"/>
      </right>
      <top/>
      <bottom/>
      <diagonal/>
    </border>
    <border>
      <left style="thin">
        <color indexed="64"/>
      </left>
      <right/>
      <top/>
      <bottom style="hair">
        <color rgb="FF53565A"/>
      </bottom>
      <diagonal/>
    </border>
    <border>
      <left style="thin">
        <color indexed="64"/>
      </left>
      <right/>
      <top style="hair">
        <color rgb="FF53565A"/>
      </top>
      <bottom style="hair">
        <color rgb="FF53565A"/>
      </bottom>
      <diagonal/>
    </border>
    <border>
      <left style="medium">
        <color rgb="FF53565A"/>
      </left>
      <right/>
      <top style="hair">
        <color rgb="FF53565A"/>
      </top>
      <bottom style="thin">
        <color indexed="64"/>
      </bottom>
      <diagonal/>
    </border>
    <border>
      <left/>
      <right style="hair">
        <color rgb="FF53565A"/>
      </right>
      <top style="hair">
        <color rgb="FF53565A"/>
      </top>
      <bottom style="thin">
        <color indexed="64"/>
      </bottom>
      <diagonal/>
    </border>
    <border>
      <left style="medium">
        <color rgb="FF53565A"/>
      </left>
      <right/>
      <top/>
      <bottom style="thin">
        <color indexed="64"/>
      </bottom>
      <diagonal/>
    </border>
    <border>
      <left/>
      <right style="hair">
        <color rgb="FF53565A"/>
      </right>
      <top/>
      <bottom style="thin">
        <color indexed="64"/>
      </bottom>
      <diagonal/>
    </border>
    <border>
      <left style="hair">
        <color rgb="FF53565A"/>
      </left>
      <right style="hair">
        <color rgb="FF53565A"/>
      </right>
      <top style="hair">
        <color rgb="FF53565A"/>
      </top>
      <bottom style="thin">
        <color indexed="64"/>
      </bottom>
      <diagonal/>
    </border>
    <border>
      <left style="hair">
        <color rgb="FF53565A"/>
      </left>
      <right/>
      <top/>
      <bottom/>
      <diagonal/>
    </border>
    <border>
      <left style="hair">
        <color rgb="FF53565A"/>
      </left>
      <right style="hair">
        <color rgb="FF53565A"/>
      </right>
      <top style="thin">
        <color indexed="64"/>
      </top>
      <bottom style="hair">
        <color rgb="FF53565A"/>
      </bottom>
      <diagonal/>
    </border>
    <border>
      <left/>
      <right style="medium">
        <color indexed="64"/>
      </right>
      <top style="thin">
        <color indexed="64"/>
      </top>
      <bottom style="hair">
        <color rgb="FF53565A"/>
      </bottom>
      <diagonal/>
    </border>
    <border>
      <left style="medium">
        <color indexed="64"/>
      </left>
      <right/>
      <top/>
      <bottom style="hair">
        <color rgb="FF53565A"/>
      </bottom>
      <diagonal/>
    </border>
    <border>
      <left/>
      <right style="medium">
        <color indexed="64"/>
      </right>
      <top style="hair">
        <color rgb="FF53565A"/>
      </top>
      <bottom style="hair">
        <color rgb="FF53565A"/>
      </bottom>
      <diagonal/>
    </border>
    <border>
      <left style="medium">
        <color indexed="64"/>
      </left>
      <right/>
      <top style="hair">
        <color rgb="FF53565A"/>
      </top>
      <bottom style="thin">
        <color indexed="64"/>
      </bottom>
      <diagonal/>
    </border>
    <border>
      <left/>
      <right style="medium">
        <color indexed="64"/>
      </right>
      <top style="hair">
        <color rgb="FF53565A"/>
      </top>
      <bottom style="thin">
        <color indexed="64"/>
      </bottom>
      <diagonal/>
    </border>
    <border>
      <left style="thin">
        <color indexed="64"/>
      </left>
      <right/>
      <top style="hair">
        <color rgb="FF53565A"/>
      </top>
      <bottom/>
      <diagonal/>
    </border>
    <border>
      <left/>
      <right style="thin">
        <color indexed="64"/>
      </right>
      <top style="hair">
        <color rgb="FF53565A"/>
      </top>
      <bottom/>
      <diagonal/>
    </border>
    <border>
      <left/>
      <right style="thin">
        <color indexed="64"/>
      </right>
      <top style="hair">
        <color indexed="64"/>
      </top>
      <bottom style="hair">
        <color rgb="FF53565A"/>
      </bottom>
      <diagonal/>
    </border>
    <border>
      <left/>
      <right style="thin">
        <color rgb="FF53565A"/>
      </right>
      <top style="hair">
        <color rgb="FF53565A"/>
      </top>
      <bottom style="hair">
        <color rgb="FF53565A"/>
      </bottom>
      <diagonal/>
    </border>
    <border>
      <left/>
      <right/>
      <top style="hair">
        <color theme="1"/>
      </top>
      <bottom style="hair">
        <color theme="1"/>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hair">
        <color rgb="FF53565A"/>
      </top>
      <bottom style="medium">
        <color indexed="64"/>
      </bottom>
      <diagonal/>
    </border>
  </borders>
  <cellStyleXfs count="6">
    <xf numFmtId="0" fontId="0" fillId="0" borderId="0"/>
    <xf numFmtId="0" fontId="11" fillId="0" borderId="0" applyNumberFormat="0" applyFill="0" applyBorder="0" applyAlignment="0" applyProtection="0"/>
    <xf numFmtId="0" fontId="12" fillId="0" borderId="0"/>
    <xf numFmtId="0" fontId="23" fillId="0" borderId="0" applyNumberFormat="0" applyFill="0" applyBorder="0" applyAlignment="0" applyProtection="0">
      <alignment vertical="top"/>
      <protection locked="0"/>
    </xf>
    <xf numFmtId="0" fontId="31" fillId="0" borderId="0"/>
    <xf numFmtId="0" fontId="36" fillId="0" borderId="0" applyNumberFormat="0" applyFill="0" applyBorder="0" applyAlignment="0" applyProtection="0">
      <alignment vertical="top"/>
      <protection locked="0"/>
    </xf>
  </cellStyleXfs>
  <cellXfs count="670">
    <xf numFmtId="0" fontId="0" fillId="0" borderId="0" xfId="0"/>
    <xf numFmtId="0" fontId="1" fillId="0" borderId="0" xfId="0" applyFont="1"/>
    <xf numFmtId="0" fontId="1" fillId="0" borderId="0" xfId="0" applyFont="1" applyAlignment="1">
      <alignment vertical="center"/>
    </xf>
    <xf numFmtId="0" fontId="7" fillId="0" borderId="0" xfId="0" applyFont="1"/>
    <xf numFmtId="0" fontId="10" fillId="0" borderId="0" xfId="0" applyFont="1"/>
    <xf numFmtId="0" fontId="0" fillId="0" borderId="0" xfId="0" applyAlignment="1">
      <alignment horizontal="center"/>
    </xf>
    <xf numFmtId="0" fontId="13" fillId="0" borderId="0" xfId="2" applyFont="1"/>
    <xf numFmtId="0" fontId="6" fillId="0" borderId="0" xfId="0" applyFont="1"/>
    <xf numFmtId="0" fontId="0" fillId="0" borderId="0" xfId="0" applyAlignment="1">
      <alignment vertical="top"/>
    </xf>
    <xf numFmtId="0" fontId="6" fillId="3" borderId="0" xfId="0" applyFont="1" applyFill="1" applyAlignment="1">
      <alignment vertical="top"/>
    </xf>
    <xf numFmtId="0" fontId="7" fillId="0" borderId="0" xfId="0" applyFont="1" applyAlignment="1">
      <alignment vertical="top" wrapText="1"/>
    </xf>
    <xf numFmtId="0" fontId="16" fillId="0" borderId="0" xfId="0" applyFont="1" applyAlignment="1">
      <alignment vertical="top" wrapText="1"/>
    </xf>
    <xf numFmtId="0" fontId="19" fillId="0" borderId="0" xfId="0" applyFont="1" applyAlignment="1">
      <alignment horizontal="left" vertical="center"/>
    </xf>
    <xf numFmtId="0" fontId="19" fillId="0" borderId="0" xfId="0" applyFont="1" applyAlignment="1">
      <alignment vertical="center"/>
    </xf>
    <xf numFmtId="0" fontId="19" fillId="0" borderId="0" xfId="0" applyFont="1" applyAlignment="1">
      <alignment vertical="top"/>
    </xf>
    <xf numFmtId="0" fontId="7" fillId="4" borderId="0" xfId="0" applyFont="1" applyFill="1" applyAlignment="1">
      <alignment vertical="top" wrapText="1"/>
    </xf>
    <xf numFmtId="0" fontId="13" fillId="4" borderId="0" xfId="2" applyFont="1" applyFill="1"/>
    <xf numFmtId="0" fontId="0" fillId="4" borderId="0" xfId="0" applyFill="1"/>
    <xf numFmtId="0" fontId="0" fillId="0" borderId="0" xfId="0" quotePrefix="1"/>
    <xf numFmtId="0" fontId="10" fillId="5" borderId="0" xfId="0" applyFont="1" applyFill="1"/>
    <xf numFmtId="0" fontId="0" fillId="5" borderId="0" xfId="0" applyFill="1"/>
    <xf numFmtId="0" fontId="13" fillId="5" borderId="0" xfId="2" applyFont="1" applyFill="1"/>
    <xf numFmtId="0" fontId="0" fillId="5" borderId="0" xfId="0" applyFill="1" applyAlignment="1">
      <alignment vertical="top"/>
    </xf>
    <xf numFmtId="0" fontId="7" fillId="5" borderId="0" xfId="0" applyFont="1" applyFill="1"/>
    <xf numFmtId="0" fontId="6" fillId="5" borderId="0" xfId="0" applyFont="1" applyFill="1"/>
    <xf numFmtId="0" fontId="15" fillId="0" borderId="0" xfId="2" applyFont="1"/>
    <xf numFmtId="9" fontId="16" fillId="0" borderId="0" xfId="0" applyNumberFormat="1" applyFont="1"/>
    <xf numFmtId="0" fontId="7" fillId="0" borderId="14" xfId="0" applyFont="1" applyBorder="1"/>
    <xf numFmtId="0" fontId="7" fillId="0" borderId="15" xfId="0" applyFont="1" applyBorder="1"/>
    <xf numFmtId="0" fontId="20" fillId="0" borderId="0" xfId="0" applyFont="1"/>
    <xf numFmtId="0" fontId="3" fillId="0" borderId="3" xfId="0" applyFont="1" applyBorder="1" applyAlignment="1">
      <alignment horizontal="center" vertical="center"/>
    </xf>
    <xf numFmtId="0" fontId="10" fillId="0" borderId="14" xfId="0" applyFont="1" applyBorder="1"/>
    <xf numFmtId="0" fontId="0" fillId="0" borderId="15" xfId="0" applyBorder="1" applyAlignment="1">
      <alignment horizontal="center"/>
    </xf>
    <xf numFmtId="0" fontId="0" fillId="0" borderId="15" xfId="0" applyBorder="1"/>
    <xf numFmtId="0" fontId="0" fillId="0" borderId="14" xfId="0" applyBorder="1"/>
    <xf numFmtId="0" fontId="16" fillId="0" borderId="14" xfId="0" applyFont="1" applyBorder="1"/>
    <xf numFmtId="0" fontId="10" fillId="0" borderId="0" xfId="0" applyFont="1" applyAlignment="1">
      <alignment horizontal="center"/>
    </xf>
    <xf numFmtId="0" fontId="10" fillId="0" borderId="15" xfId="0" applyFont="1" applyBorder="1" applyAlignment="1">
      <alignment horizontal="center"/>
    </xf>
    <xf numFmtId="0" fontId="22" fillId="0" borderId="16" xfId="0" applyFont="1" applyBorder="1"/>
    <xf numFmtId="0" fontId="5" fillId="0" borderId="17" xfId="0" applyFont="1" applyBorder="1"/>
    <xf numFmtId="0" fontId="22" fillId="0" borderId="17" xfId="0" applyFont="1" applyBorder="1"/>
    <xf numFmtId="0" fontId="2" fillId="6" borderId="0" xfId="0" applyFont="1" applyFill="1"/>
    <xf numFmtId="0" fontId="7" fillId="0" borderId="0" xfId="0" applyFont="1" applyAlignment="1">
      <alignment wrapText="1"/>
    </xf>
    <xf numFmtId="0" fontId="24" fillId="0" borderId="0" xfId="0" applyFont="1"/>
    <xf numFmtId="0" fontId="2" fillId="0" borderId="23" xfId="0" applyFont="1" applyBorder="1" applyAlignment="1">
      <alignment vertical="center"/>
    </xf>
    <xf numFmtId="0" fontId="1" fillId="0" borderId="23" xfId="0" applyFont="1" applyBorder="1" applyAlignment="1">
      <alignment vertical="center"/>
    </xf>
    <xf numFmtId="0" fontId="1" fillId="0" borderId="23" xfId="0" applyFont="1" applyBorder="1"/>
    <xf numFmtId="0" fontId="1" fillId="0" borderId="28" xfId="0" applyFont="1" applyBorder="1"/>
    <xf numFmtId="0" fontId="1" fillId="0" borderId="26" xfId="0" applyFont="1" applyBorder="1"/>
    <xf numFmtId="0" fontId="3" fillId="0" borderId="22" xfId="0" applyFont="1" applyBorder="1" applyAlignment="1">
      <alignment horizontal="center" vertical="center"/>
    </xf>
    <xf numFmtId="0" fontId="13" fillId="7" borderId="0" xfId="2" applyFont="1" applyFill="1"/>
    <xf numFmtId="0" fontId="7" fillId="7" borderId="0" xfId="0" applyFont="1" applyFill="1"/>
    <xf numFmtId="0" fontId="0" fillId="7" borderId="0" xfId="0" applyFill="1"/>
    <xf numFmtId="0" fontId="26" fillId="0" borderId="0" xfId="0" applyFont="1" applyAlignment="1">
      <alignment horizontal="center" vertical="center"/>
    </xf>
    <xf numFmtId="0" fontId="26" fillId="0" borderId="0" xfId="0" applyFont="1"/>
    <xf numFmtId="0" fontId="28" fillId="0" borderId="33" xfId="0" applyFont="1" applyBorder="1" applyAlignment="1">
      <alignment horizontal="left" vertical="top" wrapText="1"/>
    </xf>
    <xf numFmtId="0" fontId="28" fillId="0" borderId="42" xfId="0" applyFont="1" applyBorder="1" applyAlignment="1">
      <alignment horizontal="left" vertical="top" wrapText="1"/>
    </xf>
    <xf numFmtId="0" fontId="28" fillId="4" borderId="45" xfId="0" applyFont="1" applyFill="1" applyBorder="1" applyAlignment="1">
      <alignment horizontal="left" vertical="top" wrapText="1"/>
    </xf>
    <xf numFmtId="0" fontId="30" fillId="0" borderId="0" xfId="0" applyFont="1" applyAlignment="1">
      <alignment wrapText="1"/>
    </xf>
    <xf numFmtId="0" fontId="28" fillId="0" borderId="47" xfId="0" applyFont="1" applyBorder="1" applyAlignment="1">
      <alignment horizontal="left" vertical="top" wrapText="1"/>
    </xf>
    <xf numFmtId="0" fontId="28" fillId="4" borderId="51" xfId="0" applyFont="1" applyFill="1" applyBorder="1" applyAlignment="1">
      <alignment horizontal="left" vertical="top" wrapText="1"/>
    </xf>
    <xf numFmtId="0" fontId="26" fillId="0" borderId="0" xfId="0" applyFont="1" applyAlignment="1">
      <alignment vertical="top"/>
    </xf>
    <xf numFmtId="0" fontId="28" fillId="4" borderId="47" xfId="0" applyFont="1" applyFill="1" applyBorder="1" applyAlignment="1">
      <alignment horizontal="left" vertical="top" wrapText="1"/>
    </xf>
    <xf numFmtId="0" fontId="28" fillId="0" borderId="45" xfId="0" applyFont="1" applyBorder="1" applyAlignment="1">
      <alignment horizontal="left" vertical="top" wrapText="1"/>
    </xf>
    <xf numFmtId="0" fontId="28" fillId="0" borderId="51" xfId="0" applyFont="1" applyBorder="1" applyAlignment="1">
      <alignment horizontal="left" vertical="top" wrapText="1"/>
    </xf>
    <xf numFmtId="0" fontId="29" fillId="0" borderId="53" xfId="0" applyFont="1" applyBorder="1" applyAlignment="1">
      <alignment vertical="center"/>
    </xf>
    <xf numFmtId="0" fontId="26" fillId="0" borderId="0" xfId="0" applyFont="1" applyAlignment="1">
      <alignment vertical="center"/>
    </xf>
    <xf numFmtId="0" fontId="26" fillId="0" borderId="0" xfId="0" applyFont="1" applyAlignment="1">
      <alignment vertical="center" wrapText="1"/>
    </xf>
    <xf numFmtId="0" fontId="28" fillId="0" borderId="60" xfId="0" applyFont="1" applyBorder="1" applyAlignment="1">
      <alignment horizontal="left" vertical="top" wrapText="1"/>
    </xf>
    <xf numFmtId="0" fontId="2" fillId="0" borderId="0" xfId="4" applyFont="1"/>
    <xf numFmtId="0" fontId="2" fillId="0" borderId="0" xfId="4" applyFont="1" applyAlignment="1">
      <alignment wrapText="1"/>
    </xf>
    <xf numFmtId="0" fontId="2" fillId="0" borderId="66" xfId="4" applyFont="1" applyBorder="1"/>
    <xf numFmtId="0" fontId="2" fillId="0" borderId="69" xfId="4" applyFont="1" applyBorder="1"/>
    <xf numFmtId="0" fontId="27" fillId="0" borderId="0" xfId="0" applyFont="1"/>
    <xf numFmtId="0" fontId="37" fillId="0" borderId="0" xfId="5" applyFont="1" applyAlignment="1" applyProtection="1">
      <alignment horizontal="left" vertical="center" indent="3"/>
    </xf>
    <xf numFmtId="0" fontId="37" fillId="0" borderId="0" xfId="5" applyFont="1" applyAlignment="1" applyProtection="1">
      <alignment horizontal="left" vertical="center" wrapText="1" indent="3"/>
    </xf>
    <xf numFmtId="0" fontId="2" fillId="0" borderId="71" xfId="4" applyFont="1" applyBorder="1"/>
    <xf numFmtId="0" fontId="37" fillId="0" borderId="0" xfId="5" applyFont="1" applyAlignment="1" applyProtection="1">
      <alignment horizontal="left" vertical="center" wrapText="1"/>
    </xf>
    <xf numFmtId="0" fontId="2" fillId="0" borderId="72" xfId="4" applyFont="1" applyBorder="1" applyAlignment="1">
      <alignment wrapText="1"/>
    </xf>
    <xf numFmtId="0" fontId="11" fillId="0" borderId="0" xfId="1" applyAlignment="1">
      <alignment vertical="top"/>
    </xf>
    <xf numFmtId="0" fontId="8" fillId="0" borderId="77" xfId="0" applyFont="1" applyBorder="1" applyAlignment="1">
      <alignment vertical="center" wrapText="1"/>
    </xf>
    <xf numFmtId="0" fontId="41" fillId="0" borderId="0" xfId="2" applyFont="1" applyAlignment="1">
      <alignment vertical="center"/>
    </xf>
    <xf numFmtId="0" fontId="12" fillId="0" borderId="0" xfId="2" applyAlignment="1">
      <alignment vertical="center"/>
    </xf>
    <xf numFmtId="49" fontId="2" fillId="0" borderId="2" xfId="0" applyNumberFormat="1" applyFont="1" applyBorder="1" applyAlignment="1" applyProtection="1">
      <alignment vertical="center" wrapText="1"/>
      <protection locked="0"/>
    </xf>
    <xf numFmtId="0" fontId="25" fillId="0" borderId="83" xfId="0" applyFont="1" applyBorder="1" applyAlignment="1">
      <alignment horizontal="left" vertical="center"/>
    </xf>
    <xf numFmtId="0" fontId="13" fillId="0" borderId="0" xfId="0" applyFont="1" applyAlignment="1">
      <alignment vertical="top" wrapText="1"/>
    </xf>
    <xf numFmtId="0" fontId="19" fillId="0" borderId="0" xfId="0" applyFont="1" applyAlignment="1">
      <alignment vertical="top" wrapText="1"/>
    </xf>
    <xf numFmtId="0" fontId="1" fillId="0" borderId="89" xfId="0" applyFont="1" applyBorder="1" applyAlignment="1">
      <alignment vertical="center"/>
    </xf>
    <xf numFmtId="0" fontId="3" fillId="0" borderId="22" xfId="0" applyFont="1" applyBorder="1" applyAlignment="1">
      <alignment vertical="center"/>
    </xf>
    <xf numFmtId="0" fontId="0" fillId="0" borderId="0" xfId="0" applyAlignment="1">
      <alignment vertical="top" wrapText="1"/>
    </xf>
    <xf numFmtId="0" fontId="7" fillId="11" borderId="19" xfId="0" applyFont="1" applyFill="1" applyBorder="1" applyAlignment="1">
      <alignment horizontal="left" vertical="center" wrapText="1"/>
    </xf>
    <xf numFmtId="0" fontId="0" fillId="11" borderId="91" xfId="0" applyFill="1" applyBorder="1"/>
    <xf numFmtId="0" fontId="0" fillId="11" borderId="93" xfId="0" applyFill="1" applyBorder="1"/>
    <xf numFmtId="0" fontId="0" fillId="11" borderId="96" xfId="0" applyFill="1" applyBorder="1"/>
    <xf numFmtId="0" fontId="19" fillId="2" borderId="0" xfId="0" applyFont="1" applyFill="1" applyAlignment="1">
      <alignment vertical="top"/>
    </xf>
    <xf numFmtId="0" fontId="4" fillId="0" borderId="97" xfId="0" applyFont="1" applyBorder="1" applyAlignment="1">
      <alignment horizontal="right" vertical="center"/>
    </xf>
    <xf numFmtId="0" fontId="7" fillId="0" borderId="0" xfId="2" applyFont="1"/>
    <xf numFmtId="0" fontId="13" fillId="12" borderId="0" xfId="0" applyFont="1" applyFill="1" applyAlignment="1">
      <alignment vertical="top" wrapText="1"/>
    </xf>
    <xf numFmtId="0" fontId="7" fillId="12" borderId="0" xfId="0" applyFont="1" applyFill="1" applyAlignment="1">
      <alignment vertical="top" wrapText="1"/>
    </xf>
    <xf numFmtId="0" fontId="0" fillId="12" borderId="0" xfId="0" applyFill="1" applyAlignment="1">
      <alignment vertical="top"/>
    </xf>
    <xf numFmtId="0" fontId="0" fillId="12" borderId="0" xfId="0" applyFill="1" applyAlignment="1">
      <alignment horizontal="center" vertical="center"/>
    </xf>
    <xf numFmtId="0" fontId="0" fillId="12" borderId="0" xfId="0" applyFill="1" applyAlignment="1">
      <alignment vertical="top" wrapText="1"/>
    </xf>
    <xf numFmtId="0" fontId="0" fillId="12" borderId="0" xfId="0" applyFill="1"/>
    <xf numFmtId="0" fontId="7" fillId="12" borderId="14" xfId="0" applyFont="1" applyFill="1" applyBorder="1"/>
    <xf numFmtId="0" fontId="2" fillId="0" borderId="4" xfId="0" applyFont="1" applyBorder="1" applyAlignment="1" applyProtection="1">
      <alignment horizontal="center" vertical="center" wrapText="1"/>
      <protection locked="0"/>
    </xf>
    <xf numFmtId="0" fontId="7" fillId="0" borderId="0" xfId="0" applyFont="1" applyProtection="1">
      <protection locked="0"/>
    </xf>
    <xf numFmtId="0" fontId="7" fillId="0" borderId="30" xfId="0" applyFont="1" applyBorder="1" applyProtection="1">
      <protection locked="0"/>
    </xf>
    <xf numFmtId="0" fontId="40" fillId="0" borderId="76" xfId="0" applyFont="1" applyBorder="1" applyAlignment="1">
      <alignment vertical="center" wrapText="1"/>
    </xf>
    <xf numFmtId="0" fontId="11" fillId="0" borderId="0" xfId="1"/>
    <xf numFmtId="0" fontId="0" fillId="0" borderId="0" xfId="0" applyAlignment="1">
      <alignment vertical="center"/>
    </xf>
    <xf numFmtId="0" fontId="49" fillId="13" borderId="32" xfId="1" quotePrefix="1" applyFont="1" applyFill="1" applyBorder="1" applyAlignment="1">
      <alignment horizontal="center" vertical="center" wrapText="1"/>
    </xf>
    <xf numFmtId="0" fontId="0" fillId="0" borderId="0" xfId="0" applyAlignment="1">
      <alignment horizontal="left" vertical="top" wrapText="1"/>
    </xf>
    <xf numFmtId="0" fontId="47" fillId="0" borderId="0" xfId="0" applyFont="1"/>
    <xf numFmtId="0" fontId="0" fillId="13" borderId="0" xfId="0" applyFill="1"/>
    <xf numFmtId="0" fontId="6" fillId="0" borderId="0" xfId="0" applyFont="1" applyAlignment="1">
      <alignment horizontal="right" vertical="center" wrapText="1"/>
    </xf>
    <xf numFmtId="0" fontId="6" fillId="3" borderId="0" xfId="0" applyFont="1" applyFill="1" applyAlignment="1">
      <alignment vertical="center"/>
    </xf>
    <xf numFmtId="0" fontId="16" fillId="0" borderId="0" xfId="0" applyFont="1" applyAlignment="1">
      <alignment vertical="center" wrapText="1"/>
    </xf>
    <xf numFmtId="0" fontId="19" fillId="0" borderId="0" xfId="0" applyFont="1" applyAlignment="1">
      <alignment horizontal="left" vertical="top" wrapText="1"/>
    </xf>
    <xf numFmtId="0" fontId="47" fillId="12" borderId="0" xfId="0" applyFont="1" applyFill="1" applyAlignment="1">
      <alignment vertical="top" wrapText="1"/>
    </xf>
    <xf numFmtId="0" fontId="1" fillId="0" borderId="0" xfId="0" applyFont="1" applyAlignment="1">
      <alignment wrapText="1"/>
    </xf>
    <xf numFmtId="0" fontId="3" fillId="0" borderId="20" xfId="0" applyFont="1" applyBorder="1" applyAlignment="1">
      <alignment horizontal="center" vertical="center"/>
    </xf>
    <xf numFmtId="0" fontId="42" fillId="0" borderId="22" xfId="0" applyFont="1" applyBorder="1" applyAlignment="1">
      <alignment horizontal="center" vertical="center"/>
    </xf>
    <xf numFmtId="0" fontId="3" fillId="0" borderId="24" xfId="0" applyFont="1" applyBorder="1" applyAlignment="1">
      <alignment horizontal="center" vertical="center"/>
    </xf>
    <xf numFmtId="0" fontId="1" fillId="0" borderId="27" xfId="0" applyFont="1" applyBorder="1" applyAlignment="1">
      <alignment vertical="center"/>
    </xf>
    <xf numFmtId="0" fontId="1" fillId="0" borderId="22" xfId="0" applyFont="1" applyBorder="1" applyAlignment="1">
      <alignment vertical="center"/>
    </xf>
    <xf numFmtId="0" fontId="1" fillId="0" borderId="25" xfId="0" applyFont="1" applyBorder="1" applyAlignment="1">
      <alignment vertical="center"/>
    </xf>
    <xf numFmtId="0" fontId="0" fillId="11" borderId="90" xfId="0" applyFill="1" applyBorder="1" applyAlignment="1">
      <alignment vertical="center"/>
    </xf>
    <xf numFmtId="0" fontId="0" fillId="11" borderId="92" xfId="0" applyFill="1" applyBorder="1" applyAlignment="1">
      <alignment vertical="center"/>
    </xf>
    <xf numFmtId="0" fontId="0" fillId="11" borderId="94" xfId="0" applyFill="1" applyBorder="1" applyAlignment="1">
      <alignment vertical="center"/>
    </xf>
    <xf numFmtId="0" fontId="0" fillId="0" borderId="0" xfId="0" applyAlignment="1">
      <alignment wrapText="1"/>
    </xf>
    <xf numFmtId="0" fontId="2" fillId="0" borderId="32" xfId="0" applyFont="1" applyBorder="1" applyAlignment="1" applyProtection="1">
      <alignment vertical="center" wrapText="1"/>
      <protection locked="0"/>
    </xf>
    <xf numFmtId="0" fontId="51" fillId="0" borderId="0" xfId="0" applyFont="1" applyAlignment="1">
      <alignment vertical="top"/>
    </xf>
    <xf numFmtId="166" fontId="0" fillId="0" borderId="0" xfId="0" applyNumberFormat="1" applyAlignment="1">
      <alignment vertical="top"/>
    </xf>
    <xf numFmtId="0" fontId="6" fillId="0" borderId="0" xfId="0" applyFont="1" applyAlignment="1">
      <alignment horizontal="left" vertical="top" wrapText="1"/>
    </xf>
    <xf numFmtId="0" fontId="17" fillId="0" borderId="12" xfId="0" applyFont="1" applyBorder="1" applyAlignment="1">
      <alignment horizontal="right" vertical="center"/>
    </xf>
    <xf numFmtId="0" fontId="1" fillId="14" borderId="4" xfId="0" applyFont="1" applyFill="1" applyBorder="1" applyAlignment="1">
      <alignment vertical="center"/>
    </xf>
    <xf numFmtId="0" fontId="2" fillId="14" borderId="21" xfId="0" applyFont="1" applyFill="1" applyBorder="1" applyAlignment="1">
      <alignment vertical="center"/>
    </xf>
    <xf numFmtId="0" fontId="27" fillId="0" borderId="0" xfId="0" applyFont="1" applyAlignment="1">
      <alignment vertical="center"/>
    </xf>
    <xf numFmtId="0" fontId="28" fillId="4" borderId="42" xfId="0" applyFont="1" applyFill="1" applyBorder="1" applyAlignment="1">
      <alignment horizontal="left" vertical="top" wrapText="1"/>
    </xf>
    <xf numFmtId="0" fontId="3" fillId="0" borderId="4" xfId="0" applyFont="1" applyBorder="1" applyAlignment="1">
      <alignment vertical="center"/>
    </xf>
    <xf numFmtId="0" fontId="29" fillId="8" borderId="53" xfId="0" applyFont="1" applyFill="1" applyBorder="1" applyAlignment="1">
      <alignment vertical="center" wrapText="1"/>
    </xf>
    <xf numFmtId="0" fontId="8" fillId="0" borderId="4" xfId="0" applyFont="1" applyBorder="1" applyAlignment="1">
      <alignment vertical="center" wrapText="1"/>
    </xf>
    <xf numFmtId="0" fontId="22" fillId="0" borderId="0" xfId="4" applyFont="1" applyAlignment="1">
      <alignment vertical="center" wrapText="1"/>
    </xf>
    <xf numFmtId="0" fontId="48" fillId="0" borderId="22" xfId="0" applyFont="1" applyBorder="1" applyAlignment="1">
      <alignment vertical="center"/>
    </xf>
    <xf numFmtId="0" fontId="47" fillId="12" borderId="0" xfId="0" applyFont="1" applyFill="1"/>
    <xf numFmtId="0" fontId="0" fillId="0" borderId="0" xfId="0" applyAlignment="1">
      <alignment horizontal="center" vertical="center" wrapText="1"/>
    </xf>
    <xf numFmtId="0" fontId="0" fillId="12" borderId="0" xfId="0" applyFill="1" applyAlignment="1">
      <alignment wrapText="1"/>
    </xf>
    <xf numFmtId="0" fontId="58" fillId="0" borderId="0" xfId="0" applyFont="1" applyAlignment="1">
      <alignment horizontal="left" vertical="top" wrapText="1"/>
    </xf>
    <xf numFmtId="14" fontId="51" fillId="0" borderId="0" xfId="0" applyNumberFormat="1" applyFont="1" applyAlignment="1">
      <alignment horizontal="center" vertical="top"/>
    </xf>
    <xf numFmtId="0" fontId="51" fillId="0" borderId="0" xfId="0" applyFont="1" applyAlignment="1">
      <alignment horizontal="center" vertical="top"/>
    </xf>
    <xf numFmtId="0" fontId="51" fillId="0" borderId="0" xfId="0" applyFont="1" applyAlignment="1">
      <alignment horizontal="center" vertical="top" wrapText="1"/>
    </xf>
    <xf numFmtId="167" fontId="0" fillId="0" borderId="0" xfId="0" applyNumberFormat="1" applyAlignment="1">
      <alignment vertical="top"/>
    </xf>
    <xf numFmtId="14" fontId="0" fillId="0" borderId="0" xfId="0" applyNumberFormat="1" applyAlignment="1">
      <alignment horizontal="center" vertical="top"/>
    </xf>
    <xf numFmtId="0" fontId="0" fillId="0" borderId="0" xfId="0" applyAlignment="1">
      <alignment horizontal="center" vertical="top"/>
    </xf>
    <xf numFmtId="14" fontId="0" fillId="0" borderId="0" xfId="0" quotePrefix="1" applyNumberFormat="1" applyAlignment="1">
      <alignment horizontal="center" vertical="top"/>
    </xf>
    <xf numFmtId="0" fontId="1" fillId="0" borderId="24" xfId="0" applyFont="1" applyBorder="1" applyAlignment="1">
      <alignment vertical="center"/>
    </xf>
    <xf numFmtId="0" fontId="1" fillId="0" borderId="29" xfId="0" applyFont="1" applyBorder="1"/>
    <xf numFmtId="0" fontId="1" fillId="0" borderId="29" xfId="0" applyFont="1" applyBorder="1" applyAlignment="1">
      <alignment vertical="center"/>
    </xf>
    <xf numFmtId="0" fontId="0" fillId="11" borderId="111" xfId="0" applyFill="1" applyBorder="1" applyAlignment="1">
      <alignment vertical="center"/>
    </xf>
    <xf numFmtId="0" fontId="0" fillId="11" borderId="113" xfId="0" applyFill="1" applyBorder="1"/>
    <xf numFmtId="0" fontId="14" fillId="0" borderId="24" xfId="0" applyFont="1" applyBorder="1" applyAlignment="1">
      <alignment horizontal="center" vertical="center"/>
    </xf>
    <xf numFmtId="0" fontId="1" fillId="0" borderId="117" xfId="0" applyFont="1" applyBorder="1" applyAlignment="1">
      <alignment vertical="center"/>
    </xf>
    <xf numFmtId="0" fontId="48" fillId="0" borderId="85" xfId="0" applyFont="1" applyBorder="1" applyAlignment="1">
      <alignment horizontal="right" vertical="center"/>
    </xf>
    <xf numFmtId="0" fontId="1" fillId="0" borderId="118" xfId="0" applyFont="1" applyBorder="1"/>
    <xf numFmtId="0" fontId="1" fillId="0" borderId="21" xfId="0" applyFont="1" applyBorder="1"/>
    <xf numFmtId="0" fontId="14" fillId="9" borderId="56" xfId="0" applyFont="1" applyFill="1" applyBorder="1"/>
    <xf numFmtId="0" fontId="2" fillId="0" borderId="23" xfId="0" applyFont="1" applyBorder="1" applyAlignment="1" applyProtection="1">
      <alignment vertical="center" wrapText="1"/>
      <protection locked="0"/>
    </xf>
    <xf numFmtId="0" fontId="1" fillId="0" borderId="23" xfId="0" applyFont="1" applyBorder="1" applyAlignment="1" applyProtection="1">
      <alignment vertical="center"/>
      <protection locked="0"/>
    </xf>
    <xf numFmtId="0" fontId="0" fillId="0" borderId="0" xfId="0" applyAlignment="1">
      <alignment vertical="center" wrapText="1"/>
    </xf>
    <xf numFmtId="0" fontId="58" fillId="0" borderId="32" xfId="0" applyFont="1" applyBorder="1" applyAlignment="1">
      <alignment horizontal="left" vertical="center" wrapText="1"/>
    </xf>
    <xf numFmtId="0" fontId="0" fillId="12" borderId="0" xfId="0" applyFill="1" applyAlignment="1">
      <alignment horizontal="left" vertical="top" wrapText="1"/>
    </xf>
    <xf numFmtId="0" fontId="7" fillId="0" borderId="0" xfId="0" applyFont="1" applyAlignment="1">
      <alignment vertical="center" wrapText="1"/>
    </xf>
    <xf numFmtId="0" fontId="58" fillId="0" borderId="0" xfId="0" applyFont="1" applyAlignment="1">
      <alignment horizontal="left" vertical="center" wrapText="1"/>
    </xf>
    <xf numFmtId="0" fontId="62" fillId="0" borderId="0" xfId="0" applyFont="1" applyAlignment="1">
      <alignment vertical="top"/>
    </xf>
    <xf numFmtId="49" fontId="2" fillId="0" borderId="23" xfId="0" applyNumberFormat="1" applyFont="1" applyBorder="1" applyAlignment="1" applyProtection="1">
      <alignment horizontal="left" vertical="center" wrapText="1"/>
      <protection locked="0"/>
    </xf>
    <xf numFmtId="0" fontId="1" fillId="0" borderId="0" xfId="0" applyFont="1" applyAlignment="1">
      <alignment horizontal="left" vertical="center"/>
    </xf>
    <xf numFmtId="0" fontId="2" fillId="0" borderId="3" xfId="0" applyFont="1" applyBorder="1" applyAlignment="1" applyProtection="1">
      <alignment horizontal="center" vertical="center" wrapText="1"/>
      <protection locked="0"/>
    </xf>
    <xf numFmtId="0" fontId="8" fillId="0" borderId="4" xfId="0" applyFont="1" applyBorder="1" applyAlignment="1">
      <alignment horizontal="center" vertical="center" wrapText="1"/>
    </xf>
    <xf numFmtId="0" fontId="16" fillId="2" borderId="14" xfId="0" applyFont="1" applyFill="1" applyBorder="1"/>
    <xf numFmtId="0" fontId="0" fillId="2" borderId="0" xfId="0" applyFill="1" applyAlignment="1">
      <alignment horizontal="center"/>
    </xf>
    <xf numFmtId="0" fontId="0" fillId="2" borderId="15" xfId="0" applyFill="1" applyBorder="1" applyAlignment="1">
      <alignment horizontal="center"/>
    </xf>
    <xf numFmtId="0" fontId="1" fillId="0" borderId="127" xfId="0" applyFont="1" applyBorder="1"/>
    <xf numFmtId="0" fontId="0" fillId="0" borderId="4" xfId="0" applyBorder="1" applyAlignment="1" applyProtection="1">
      <alignment vertical="center"/>
      <protection locked="0"/>
    </xf>
    <xf numFmtId="0" fontId="7" fillId="12" borderId="0" xfId="0" applyFont="1" applyFill="1"/>
    <xf numFmtId="0" fontId="0" fillId="16" borderId="0" xfId="0" applyFill="1"/>
    <xf numFmtId="49" fontId="2" fillId="0" borderId="23" xfId="0" applyNumberFormat="1" applyFont="1" applyBorder="1" applyAlignment="1" applyProtection="1">
      <alignment vertical="center" wrapText="1"/>
      <protection locked="0"/>
    </xf>
    <xf numFmtId="0" fontId="64" fillId="0" borderId="22" xfId="0" applyFont="1" applyBorder="1" applyAlignment="1">
      <alignment horizontal="center" vertical="center"/>
    </xf>
    <xf numFmtId="0" fontId="7" fillId="0" borderId="0" xfId="0" applyFont="1" applyAlignment="1">
      <alignment vertical="top"/>
    </xf>
    <xf numFmtId="0" fontId="2" fillId="0" borderId="0" xfId="0" applyFont="1" applyAlignment="1">
      <alignment vertical="center"/>
    </xf>
    <xf numFmtId="2" fontId="0" fillId="0" borderId="0" xfId="0" applyNumberFormat="1" applyAlignment="1">
      <alignment vertical="top"/>
    </xf>
    <xf numFmtId="0" fontId="65" fillId="0" borderId="0" xfId="0" applyFont="1" applyAlignment="1">
      <alignment vertical="top"/>
    </xf>
    <xf numFmtId="0" fontId="66" fillId="0" borderId="131" xfId="0" applyFont="1" applyBorder="1" applyAlignment="1">
      <alignment vertical="top"/>
    </xf>
    <xf numFmtId="0" fontId="66" fillId="0" borderId="44" xfId="0" applyFont="1" applyBorder="1" applyAlignment="1">
      <alignment vertical="top"/>
    </xf>
    <xf numFmtId="0" fontId="65" fillId="2" borderId="32" xfId="0" applyFont="1" applyFill="1" applyBorder="1" applyAlignment="1">
      <alignment horizontal="center" vertical="top"/>
    </xf>
    <xf numFmtId="0" fontId="6" fillId="0" borderId="0" xfId="0" applyFont="1" applyAlignment="1">
      <alignment wrapText="1"/>
    </xf>
    <xf numFmtId="0" fontId="24" fillId="14" borderId="0" xfId="0" applyFont="1" applyFill="1"/>
    <xf numFmtId="0" fontId="7" fillId="14" borderId="0" xfId="0" applyFont="1" applyFill="1" applyAlignment="1">
      <alignment wrapText="1"/>
    </xf>
    <xf numFmtId="0" fontId="13" fillId="0" borderId="0" xfId="2" applyFont="1" applyAlignment="1">
      <alignment vertical="top"/>
    </xf>
    <xf numFmtId="0" fontId="40" fillId="0" borderId="132" xfId="0" applyFont="1" applyBorder="1" applyAlignment="1">
      <alignment vertical="center" wrapText="1"/>
    </xf>
    <xf numFmtId="0" fontId="8" fillId="0" borderId="133" xfId="0" applyFont="1" applyBorder="1" applyAlignment="1">
      <alignment vertical="center" wrapText="1"/>
    </xf>
    <xf numFmtId="0" fontId="7" fillId="0" borderId="1" xfId="0" applyFont="1" applyBorder="1" applyAlignment="1" applyProtection="1">
      <alignment horizontal="center" vertical="center" wrapText="1"/>
      <protection locked="0"/>
    </xf>
    <xf numFmtId="17" fontId="0" fillId="0" borderId="0" xfId="0" applyNumberFormat="1" applyAlignment="1">
      <alignment horizontal="center" vertical="top"/>
    </xf>
    <xf numFmtId="0" fontId="7" fillId="4" borderId="0" xfId="0" applyFont="1" applyFill="1"/>
    <xf numFmtId="49" fontId="2" fillId="0" borderId="11" xfId="0" applyNumberFormat="1" applyFont="1" applyBorder="1" applyAlignment="1" applyProtection="1">
      <alignment horizontal="center" vertical="center" wrapText="1"/>
      <protection locked="0"/>
    </xf>
    <xf numFmtId="49" fontId="2" fillId="0" borderId="23" xfId="0" applyNumberFormat="1" applyFont="1" applyBorder="1" applyAlignment="1" applyProtection="1">
      <alignment vertical="center"/>
      <protection locked="0"/>
    </xf>
    <xf numFmtId="0" fontId="7" fillId="0" borderId="1" xfId="0" applyFont="1" applyBorder="1" applyAlignment="1">
      <alignment vertical="center" wrapText="1"/>
    </xf>
    <xf numFmtId="0" fontId="47" fillId="0" borderId="0" xfId="0" applyFont="1" applyAlignment="1">
      <alignment vertical="top" wrapText="1"/>
    </xf>
    <xf numFmtId="0" fontId="7" fillId="0" borderId="0" xfId="0" applyFont="1" applyAlignment="1">
      <alignment vertical="center"/>
    </xf>
    <xf numFmtId="0" fontId="6" fillId="3" borderId="0" xfId="0" applyFont="1" applyFill="1" applyAlignment="1">
      <alignment vertical="top" wrapText="1"/>
    </xf>
    <xf numFmtId="0" fontId="13" fillId="0" borderId="0" xfId="2" applyFont="1" applyAlignment="1">
      <alignment wrapText="1"/>
    </xf>
    <xf numFmtId="0" fontId="13" fillId="0" borderId="0" xfId="2" applyFont="1" applyAlignment="1">
      <alignment vertical="top" wrapText="1"/>
    </xf>
    <xf numFmtId="0" fontId="7" fillId="12" borderId="0" xfId="0" applyFont="1" applyFill="1" applyAlignment="1">
      <alignment wrapText="1"/>
    </xf>
    <xf numFmtId="0" fontId="7" fillId="0" borderId="10" xfId="0" applyFont="1" applyBorder="1" applyAlignment="1">
      <alignment horizontal="center" vertical="center" wrapText="1"/>
    </xf>
    <xf numFmtId="0" fontId="3" fillId="0" borderId="134" xfId="0" applyFont="1" applyBorder="1" applyAlignment="1">
      <alignment horizontal="center" vertical="center"/>
    </xf>
    <xf numFmtId="10" fontId="7" fillId="0" borderId="9" xfId="0" applyNumberFormat="1" applyFont="1" applyBorder="1" applyAlignment="1">
      <alignment horizontal="center" vertical="center" wrapText="1"/>
    </xf>
    <xf numFmtId="49" fontId="2" fillId="0" borderId="29" xfId="0" applyNumberFormat="1" applyFont="1" applyBorder="1" applyAlignment="1" applyProtection="1">
      <alignment vertical="center"/>
      <protection locked="0"/>
    </xf>
    <xf numFmtId="49" fontId="2" fillId="0" borderId="21" xfId="0" applyNumberFormat="1" applyFont="1" applyBorder="1" applyAlignment="1" applyProtection="1">
      <alignment vertical="center"/>
      <protection locked="0"/>
    </xf>
    <xf numFmtId="0" fontId="7" fillId="0" borderId="32" xfId="0" applyFont="1" applyBorder="1" applyAlignment="1">
      <alignment horizontal="center" vertical="center" wrapText="1"/>
    </xf>
    <xf numFmtId="49" fontId="2" fillId="0" borderId="32" xfId="0" applyNumberFormat="1" applyFont="1" applyBorder="1" applyAlignment="1" applyProtection="1">
      <alignment horizontal="center" vertical="center"/>
      <protection locked="0"/>
    </xf>
    <xf numFmtId="0" fontId="2" fillId="0" borderId="32" xfId="0" applyFont="1" applyBorder="1" applyAlignment="1" applyProtection="1">
      <alignment vertical="center"/>
      <protection locked="0"/>
    </xf>
    <xf numFmtId="0" fontId="1" fillId="0" borderId="134" xfId="0" applyFont="1" applyBorder="1" applyAlignment="1">
      <alignment vertical="center"/>
    </xf>
    <xf numFmtId="0" fontId="7" fillId="0" borderId="8" xfId="0" applyFont="1" applyBorder="1" applyAlignment="1">
      <alignment vertical="center" wrapText="1"/>
    </xf>
    <xf numFmtId="0" fontId="3" fillId="0" borderId="138" xfId="0" applyFont="1" applyBorder="1" applyAlignment="1">
      <alignment horizontal="center" vertical="center"/>
    </xf>
    <xf numFmtId="0" fontId="3" fillId="0" borderId="140" xfId="0" applyFont="1" applyBorder="1" applyAlignment="1">
      <alignment horizontal="center" vertical="center"/>
    </xf>
    <xf numFmtId="0" fontId="7" fillId="0" borderId="142" xfId="0" applyFont="1" applyBorder="1" applyAlignment="1">
      <alignment vertical="center" wrapText="1"/>
    </xf>
    <xf numFmtId="0" fontId="1" fillId="0" borderId="5" xfId="0" applyFont="1" applyBorder="1"/>
    <xf numFmtId="49" fontId="2" fillId="0" borderId="145" xfId="0" applyNumberFormat="1" applyFont="1" applyBorder="1" applyAlignment="1" applyProtection="1">
      <alignment vertical="center"/>
      <protection locked="0"/>
    </xf>
    <xf numFmtId="49" fontId="2" fillId="0" borderId="147" xfId="0" applyNumberFormat="1" applyFont="1" applyBorder="1" applyAlignment="1" applyProtection="1">
      <alignment vertical="center"/>
      <protection locked="0"/>
    </xf>
    <xf numFmtId="49" fontId="2" fillId="0" borderId="149" xfId="0" applyNumberFormat="1" applyFont="1" applyBorder="1" applyAlignment="1" applyProtection="1">
      <alignment vertical="center"/>
      <protection locked="0"/>
    </xf>
    <xf numFmtId="0" fontId="0" fillId="0" borderId="144" xfId="0" applyBorder="1" applyAlignment="1">
      <alignment horizontal="right" vertical="center" wrapText="1"/>
    </xf>
    <xf numFmtId="0" fontId="0" fillId="0" borderId="1" xfId="0" applyBorder="1" applyAlignment="1">
      <alignment horizontal="right" vertical="center" wrapText="1"/>
    </xf>
    <xf numFmtId="0" fontId="3" fillId="17" borderId="122" xfId="0" applyFont="1" applyFill="1" applyBorder="1" applyAlignment="1">
      <alignment horizontal="center" vertical="center"/>
    </xf>
    <xf numFmtId="0" fontId="1" fillId="17" borderId="48" xfId="0" applyFont="1" applyFill="1" applyBorder="1"/>
    <xf numFmtId="10" fontId="7" fillId="0" borderId="32" xfId="0" applyNumberFormat="1" applyFont="1" applyBorder="1" applyAlignment="1" applyProtection="1">
      <alignment horizontal="center" vertical="center" wrapText="1"/>
      <protection locked="0"/>
    </xf>
    <xf numFmtId="0" fontId="1" fillId="0" borderId="32" xfId="0" applyFont="1" applyBorder="1" applyAlignment="1" applyProtection="1">
      <alignment horizontal="center"/>
      <protection locked="0"/>
    </xf>
    <xf numFmtId="49" fontId="2" fillId="0" borderId="9" xfId="0" applyNumberFormat="1" applyFont="1" applyBorder="1" applyAlignment="1">
      <alignment horizontal="center" vertical="center"/>
    </xf>
    <xf numFmtId="0" fontId="6" fillId="0" borderId="51" xfId="0" applyFont="1" applyBorder="1"/>
    <xf numFmtId="0" fontId="6" fillId="0" borderId="36" xfId="0" applyFont="1" applyBorder="1"/>
    <xf numFmtId="0" fontId="0" fillId="0" borderId="37" xfId="0" applyBorder="1"/>
    <xf numFmtId="0" fontId="0" fillId="0" borderId="38" xfId="0" applyBorder="1"/>
    <xf numFmtId="0" fontId="48" fillId="0" borderId="134" xfId="0" applyFont="1" applyBorder="1" applyAlignment="1">
      <alignment horizontal="center" vertical="center"/>
    </xf>
    <xf numFmtId="0" fontId="51" fillId="0" borderId="0" xfId="0" applyFont="1" applyAlignment="1">
      <alignment horizontal="left" vertical="top"/>
    </xf>
    <xf numFmtId="0" fontId="69" fillId="0" borderId="0" xfId="0" applyFont="1"/>
    <xf numFmtId="0" fontId="51" fillId="0" borderId="0" xfId="0" applyFont="1"/>
    <xf numFmtId="0" fontId="6" fillId="2" borderId="32" xfId="0" applyFont="1" applyFill="1" applyBorder="1" applyAlignment="1">
      <alignment horizontal="left" vertical="top" wrapText="1"/>
    </xf>
    <xf numFmtId="0" fontId="68" fillId="0" borderId="32" xfId="0" applyFont="1" applyBorder="1" applyAlignment="1">
      <alignment horizontal="left" vertical="top" wrapText="1"/>
    </xf>
    <xf numFmtId="0" fontId="70" fillId="0" borderId="0" xfId="0" applyFont="1" applyAlignment="1">
      <alignment vertical="top"/>
    </xf>
    <xf numFmtId="0" fontId="51" fillId="4" borderId="0" xfId="0" applyFont="1" applyFill="1" applyAlignment="1">
      <alignment horizontal="left" vertical="top" wrapText="1"/>
    </xf>
    <xf numFmtId="0" fontId="11" fillId="0" borderId="0" xfId="1" quotePrefix="1"/>
    <xf numFmtId="0" fontId="2" fillId="0" borderId="23" xfId="0" applyFont="1" applyBorder="1" applyAlignment="1" applyProtection="1">
      <alignment horizontal="left" vertical="center" wrapText="1"/>
      <protection locked="0"/>
    </xf>
    <xf numFmtId="0" fontId="1" fillId="0" borderId="0" xfId="0" applyFont="1" applyAlignment="1">
      <alignment horizontal="left"/>
    </xf>
    <xf numFmtId="0" fontId="2" fillId="0" borderId="29" xfId="0" applyFont="1" applyBorder="1" applyAlignment="1" applyProtection="1">
      <alignment vertical="center" wrapText="1"/>
      <protection locked="0"/>
    </xf>
    <xf numFmtId="49" fontId="2" fillId="0" borderId="21" xfId="0" applyNumberFormat="1" applyFont="1" applyBorder="1" applyAlignment="1" applyProtection="1">
      <alignment vertical="center" wrapText="1"/>
      <protection locked="0"/>
    </xf>
    <xf numFmtId="0" fontId="7" fillId="0" borderId="0" xfId="0" applyFont="1" applyAlignment="1">
      <alignment horizontal="left" vertical="center" wrapText="1"/>
    </xf>
    <xf numFmtId="0" fontId="19" fillId="13" borderId="0" xfId="0" applyFont="1" applyFill="1" applyAlignment="1">
      <alignment vertical="top"/>
    </xf>
    <xf numFmtId="0" fontId="13" fillId="18" borderId="0" xfId="2" applyFont="1" applyFill="1"/>
    <xf numFmtId="0" fontId="7" fillId="18" borderId="0" xfId="0" applyFont="1" applyFill="1" applyAlignment="1">
      <alignment vertical="top" wrapText="1"/>
    </xf>
    <xf numFmtId="49" fontId="2" fillId="0" borderId="3" xfId="0" applyNumberFormat="1" applyFont="1" applyBorder="1" applyAlignment="1" applyProtection="1">
      <alignment vertical="center" wrapText="1"/>
      <protection locked="0"/>
    </xf>
    <xf numFmtId="49" fontId="2" fillId="0" borderId="4" xfId="0" applyNumberFormat="1" applyFont="1" applyBorder="1" applyAlignment="1" applyProtection="1">
      <alignment vertical="center" wrapText="1"/>
      <protection locked="0"/>
    </xf>
    <xf numFmtId="0" fontId="66" fillId="0" borderId="32" xfId="0" applyFont="1" applyBorder="1" applyAlignment="1">
      <alignment vertical="top" wrapText="1"/>
    </xf>
    <xf numFmtId="0" fontId="7" fillId="0" borderId="2" xfId="0" applyFont="1" applyBorder="1" applyAlignment="1" applyProtection="1">
      <alignment horizontal="center" vertical="center" wrapText="1"/>
      <protection locked="0"/>
      <extLst>
        <ext xmlns:xfpb="http://schemas.microsoft.com/office/spreadsheetml/2022/featurepropertybag" uri="{C7286773-470A-42A8-94C5-96B5CB345126}">
          <xfpb:xfComplement i="0"/>
        </ext>
      </extLst>
    </xf>
    <xf numFmtId="49" fontId="2" fillId="0" borderId="3" xfId="0" applyNumberFormat="1" applyFont="1" applyBorder="1" applyAlignment="1" applyProtection="1">
      <alignment horizontal="left" vertical="center" wrapText="1"/>
      <protection locked="0"/>
    </xf>
    <xf numFmtId="49" fontId="2" fillId="0" borderId="4" xfId="0" applyNumberFormat="1" applyFont="1" applyBorder="1" applyAlignment="1" applyProtection="1">
      <alignment horizontal="left" vertical="center" wrapText="1"/>
      <protection locked="0"/>
    </xf>
    <xf numFmtId="49" fontId="2" fillId="0" borderId="152" xfId="0" applyNumberFormat="1" applyFont="1" applyBorder="1" applyAlignment="1" applyProtection="1">
      <alignment horizontal="left" vertical="center" wrapText="1"/>
      <protection locked="0"/>
    </xf>
    <xf numFmtId="49" fontId="2" fillId="0" borderId="153" xfId="0" applyNumberFormat="1" applyFont="1" applyBorder="1" applyAlignment="1" applyProtection="1">
      <alignment horizontal="left" vertical="center" wrapText="1"/>
      <protection locked="0"/>
    </xf>
    <xf numFmtId="0" fontId="7" fillId="0" borderId="4" xfId="0" applyFont="1" applyBorder="1" applyAlignment="1">
      <alignment vertical="center" wrapText="1"/>
    </xf>
    <xf numFmtId="0" fontId="0" fillId="4" borderId="0" xfId="0" applyFill="1" applyAlignment="1">
      <alignment vertical="top" wrapText="1"/>
    </xf>
    <xf numFmtId="0" fontId="73" fillId="0" borderId="0" xfId="0" applyFont="1" applyAlignment="1">
      <alignment vertical="top"/>
    </xf>
    <xf numFmtId="0" fontId="7" fillId="0" borderId="10" xfId="0" applyFont="1" applyBorder="1" applyAlignment="1">
      <alignment horizontal="left" vertical="center" wrapText="1"/>
    </xf>
    <xf numFmtId="0" fontId="53" fillId="0" borderId="0" xfId="2" applyFont="1"/>
    <xf numFmtId="0" fontId="7" fillId="0" borderId="4" xfId="0" applyFont="1" applyBorder="1" applyAlignment="1" applyProtection="1">
      <alignment horizontal="center" vertical="center" wrapText="1"/>
      <protection locked="0"/>
    </xf>
    <xf numFmtId="0" fontId="1" fillId="0" borderId="131" xfId="0" applyFont="1" applyBorder="1"/>
    <xf numFmtId="0" fontId="1" fillId="0" borderId="21" xfId="0" applyFont="1" applyBorder="1" applyAlignment="1">
      <alignment vertical="center"/>
    </xf>
    <xf numFmtId="0" fontId="22" fillId="14" borderId="31" xfId="0" applyFont="1" applyFill="1" applyBorder="1" applyAlignment="1">
      <alignment vertical="center" wrapText="1"/>
    </xf>
    <xf numFmtId="0" fontId="22" fillId="14" borderId="59" xfId="0" applyFont="1" applyFill="1" applyBorder="1" applyAlignment="1">
      <alignment vertical="center" wrapText="1"/>
    </xf>
    <xf numFmtId="0" fontId="1" fillId="14" borderId="33" xfId="0" applyFont="1" applyFill="1" applyBorder="1" applyAlignment="1">
      <alignment vertical="center"/>
    </xf>
    <xf numFmtId="0" fontId="2" fillId="14" borderId="156" xfId="0" applyFont="1" applyFill="1" applyBorder="1" applyAlignment="1">
      <alignment vertical="center"/>
    </xf>
    <xf numFmtId="0" fontId="54" fillId="14" borderId="31" xfId="0" applyFont="1" applyFill="1" applyBorder="1" applyAlignment="1">
      <alignment vertical="center"/>
    </xf>
    <xf numFmtId="0" fontId="54" fillId="14" borderId="59" xfId="0" applyFont="1" applyFill="1" applyBorder="1" applyAlignment="1">
      <alignment vertical="center"/>
    </xf>
    <xf numFmtId="0" fontId="7" fillId="0" borderId="4" xfId="0" applyFont="1" applyBorder="1" applyAlignment="1">
      <alignment horizontal="left" vertical="center" wrapText="1"/>
    </xf>
    <xf numFmtId="0" fontId="7" fillId="0" borderId="2" xfId="0" applyFont="1" applyBorder="1" applyAlignment="1">
      <alignment horizontal="left" vertical="center" wrapText="1"/>
    </xf>
    <xf numFmtId="0" fontId="7" fillId="0" borderId="4" xfId="0" applyFont="1" applyBorder="1" applyAlignment="1">
      <alignment vertical="center" wrapText="1"/>
    </xf>
    <xf numFmtId="0" fontId="7" fillId="0" borderId="2" xfId="0" applyFont="1" applyBorder="1" applyAlignment="1">
      <alignment vertical="center" wrapText="1"/>
    </xf>
    <xf numFmtId="0" fontId="2" fillId="0" borderId="4" xfId="0" applyFont="1" applyBorder="1" applyAlignment="1" applyProtection="1">
      <alignment vertical="center"/>
      <protection locked="0"/>
    </xf>
    <xf numFmtId="0" fontId="2" fillId="0" borderId="10" xfId="0" applyFont="1" applyBorder="1" applyAlignment="1" applyProtection="1">
      <alignment vertical="center"/>
      <protection locked="0"/>
    </xf>
    <xf numFmtId="49" fontId="2" fillId="0" borderId="3" xfId="0" applyNumberFormat="1" applyFont="1" applyBorder="1" applyAlignment="1" applyProtection="1">
      <alignment vertical="center" wrapText="1"/>
      <protection locked="0"/>
    </xf>
    <xf numFmtId="49" fontId="2" fillId="0" borderId="4" xfId="0" applyNumberFormat="1" applyFont="1" applyBorder="1" applyAlignment="1" applyProtection="1">
      <alignment vertical="center" wrapText="1"/>
      <protection locked="0"/>
    </xf>
    <xf numFmtId="0" fontId="7" fillId="0" borderId="4" xfId="0" applyFont="1" applyBorder="1" applyAlignment="1">
      <alignment vertical="center"/>
    </xf>
    <xf numFmtId="0" fontId="7" fillId="0" borderId="2" xfId="0" applyFont="1" applyBorder="1" applyAlignment="1">
      <alignment vertical="center"/>
    </xf>
    <xf numFmtId="0" fontId="8" fillId="0" borderId="4" xfId="0" applyFont="1" applyBorder="1" applyAlignment="1">
      <alignment horizontal="left" vertical="center" wrapText="1"/>
    </xf>
    <xf numFmtId="0" fontId="8" fillId="0" borderId="2" xfId="0" applyFont="1" applyBorder="1" applyAlignment="1">
      <alignment horizontal="left" vertical="center" wrapText="1"/>
    </xf>
    <xf numFmtId="0" fontId="9" fillId="0" borderId="3" xfId="0" applyFont="1" applyBorder="1" applyAlignment="1" applyProtection="1">
      <alignment vertical="center" wrapText="1"/>
      <protection locked="0"/>
    </xf>
    <xf numFmtId="0" fontId="9" fillId="0" borderId="4" xfId="0" applyFont="1" applyBorder="1" applyAlignment="1" applyProtection="1">
      <alignment vertical="center" wrapText="1"/>
      <protection locked="0"/>
    </xf>
    <xf numFmtId="0" fontId="7" fillId="0" borderId="9" xfId="0" applyFont="1" applyBorder="1" applyAlignment="1">
      <alignment vertical="center"/>
    </xf>
    <xf numFmtId="0" fontId="7" fillId="0" borderId="6" xfId="0" applyFont="1" applyBorder="1" applyAlignment="1">
      <alignment vertical="center"/>
    </xf>
    <xf numFmtId="0" fontId="7" fillId="0" borderId="4" xfId="0" applyFont="1" applyBorder="1" applyAlignment="1">
      <alignment horizontal="center" vertical="center" wrapText="1"/>
    </xf>
    <xf numFmtId="0" fontId="8" fillId="0" borderId="4" xfId="0" applyFont="1" applyBorder="1" applyAlignment="1">
      <alignment vertical="center"/>
    </xf>
    <xf numFmtId="0" fontId="2" fillId="0" borderId="4" xfId="0" applyFont="1" applyBorder="1" applyAlignment="1" applyProtection="1">
      <alignment horizontal="center" vertical="center" wrapText="1"/>
      <protection locked="0"/>
    </xf>
    <xf numFmtId="0" fontId="2" fillId="0" borderId="23" xfId="0" applyFont="1" applyBorder="1" applyAlignment="1" applyProtection="1">
      <alignment horizontal="center" vertical="center" wrapText="1"/>
      <protection locked="0"/>
    </xf>
    <xf numFmtId="49" fontId="2" fillId="0" borderId="110" xfId="0" applyNumberFormat="1" applyFont="1" applyBorder="1" applyAlignment="1" applyProtection="1">
      <alignment vertical="center" wrapText="1"/>
      <protection locked="0"/>
    </xf>
    <xf numFmtId="49" fontId="2" fillId="0" borderId="9" xfId="0" applyNumberFormat="1" applyFont="1" applyBorder="1" applyAlignment="1" applyProtection="1">
      <alignment vertical="center" wrapText="1"/>
      <protection locked="0"/>
    </xf>
    <xf numFmtId="49" fontId="2" fillId="0" borderId="29" xfId="0" applyNumberFormat="1" applyFont="1" applyBorder="1" applyAlignment="1" applyProtection="1">
      <alignment vertical="center" wrapText="1"/>
      <protection locked="0"/>
    </xf>
    <xf numFmtId="49" fontId="2" fillId="0" borderId="11" xfId="0" applyNumberFormat="1" applyFont="1" applyBorder="1" applyAlignment="1" applyProtection="1">
      <alignment vertical="center" wrapText="1"/>
      <protection locked="0"/>
    </xf>
    <xf numFmtId="49" fontId="2" fillId="0" borderId="10" xfId="0" applyNumberFormat="1" applyFont="1" applyBorder="1" applyAlignment="1" applyProtection="1">
      <alignment vertical="center" wrapText="1"/>
      <protection locked="0"/>
    </xf>
    <xf numFmtId="49" fontId="2" fillId="0" borderId="21" xfId="0" applyNumberFormat="1" applyFont="1" applyBorder="1" applyAlignment="1" applyProtection="1">
      <alignment vertical="center" wrapText="1"/>
      <protection locked="0"/>
    </xf>
    <xf numFmtId="49" fontId="2" fillId="0" borderId="23" xfId="0" applyNumberFormat="1" applyFont="1" applyBorder="1" applyAlignment="1" applyProtection="1">
      <alignment vertical="center" wrapText="1"/>
      <protection locked="0"/>
    </xf>
    <xf numFmtId="0" fontId="8" fillId="0" borderId="4" xfId="0" applyFont="1" applyBorder="1" applyAlignment="1">
      <alignment horizontal="left" vertical="center"/>
    </xf>
    <xf numFmtId="0" fontId="7" fillId="0" borderId="1" xfId="0" applyFont="1" applyBorder="1" applyAlignment="1">
      <alignment vertical="center" wrapText="1"/>
    </xf>
    <xf numFmtId="0" fontId="55" fillId="15" borderId="122" xfId="0" applyFont="1" applyFill="1" applyBorder="1" applyAlignment="1">
      <alignment horizontal="center" vertical="center" wrapText="1"/>
    </xf>
    <xf numFmtId="0" fontId="55" fillId="15" borderId="52" xfId="0" applyFont="1" applyFill="1" applyBorder="1" applyAlignment="1">
      <alignment horizontal="center" vertical="center" wrapText="1"/>
    </xf>
    <xf numFmtId="0" fontId="55" fillId="15" borderId="48" xfId="0" applyFont="1" applyFill="1" applyBorder="1" applyAlignment="1">
      <alignment horizontal="center" vertical="center" wrapText="1"/>
    </xf>
    <xf numFmtId="0" fontId="11" fillId="0" borderId="1" xfId="1" quotePrefix="1" applyNumberFormat="1" applyBorder="1" applyAlignment="1" applyProtection="1">
      <alignment horizontal="center" vertical="center" wrapText="1"/>
      <protection locked="0"/>
    </xf>
    <xf numFmtId="0" fontId="11" fillId="0" borderId="1" xfId="1" applyNumberFormat="1" applyBorder="1" applyAlignment="1" applyProtection="1">
      <alignment horizontal="center" vertical="center" wrapText="1"/>
      <protection locked="0"/>
    </xf>
    <xf numFmtId="165" fontId="2" fillId="0" borderId="3" xfId="0" applyNumberFormat="1" applyFont="1" applyBorder="1" applyAlignment="1" applyProtection="1">
      <alignment horizontal="left" vertical="center" wrapText="1"/>
      <protection locked="0"/>
    </xf>
    <xf numFmtId="165" fontId="2" fillId="0" borderId="4" xfId="0" applyNumberFormat="1" applyFont="1" applyBorder="1" applyAlignment="1" applyProtection="1">
      <alignment horizontal="left" vertical="center" wrapText="1"/>
      <protection locked="0"/>
    </xf>
    <xf numFmtId="165" fontId="2" fillId="0" borderId="23" xfId="0" applyNumberFormat="1" applyFont="1" applyBorder="1" applyAlignment="1" applyProtection="1">
      <alignment horizontal="left" vertical="center" wrapText="1"/>
      <protection locked="0"/>
    </xf>
    <xf numFmtId="0" fontId="8" fillId="0" borderId="10" xfId="0" applyFont="1" applyBorder="1" applyAlignment="1">
      <alignment vertical="center"/>
    </xf>
    <xf numFmtId="0" fontId="8" fillId="0" borderId="5" xfId="0" applyFont="1" applyBorder="1" applyAlignment="1">
      <alignment vertical="center"/>
    </xf>
    <xf numFmtId="0" fontId="7" fillId="0" borderId="87" xfId="0" applyFont="1" applyBorder="1" applyAlignment="1">
      <alignment vertical="center" wrapText="1"/>
    </xf>
    <xf numFmtId="0" fontId="7" fillId="0" borderId="88" xfId="0" applyFont="1" applyBorder="1" applyAlignment="1">
      <alignment vertical="center" wrapText="1"/>
    </xf>
    <xf numFmtId="1" fontId="2" fillId="0" borderId="4" xfId="0" applyNumberFormat="1" applyFont="1" applyBorder="1" applyAlignment="1" applyProtection="1">
      <alignment horizontal="left" vertical="center" wrapText="1"/>
      <protection locked="0"/>
    </xf>
    <xf numFmtId="0" fontId="2" fillId="0" borderId="3" xfId="0" applyFont="1" applyBorder="1" applyAlignment="1" applyProtection="1">
      <alignment vertical="center" wrapText="1"/>
      <protection locked="0"/>
    </xf>
    <xf numFmtId="0" fontId="2" fillId="0" borderId="4" xfId="0" applyFont="1" applyBorder="1" applyAlignment="1" applyProtection="1">
      <alignment vertical="center" wrapText="1"/>
      <protection locked="0"/>
    </xf>
    <xf numFmtId="0" fontId="2" fillId="0" borderId="23" xfId="0" applyFont="1" applyBorder="1" applyAlignment="1" applyProtection="1">
      <alignment vertical="center" wrapText="1"/>
      <protection locked="0"/>
    </xf>
    <xf numFmtId="0" fontId="7" fillId="0" borderId="11" xfId="0" applyFont="1" applyBorder="1" applyAlignment="1">
      <alignment horizontal="left" vertical="center" wrapText="1"/>
    </xf>
    <xf numFmtId="0" fontId="7" fillId="0" borderId="10" xfId="0" applyFont="1" applyBorder="1" applyAlignment="1">
      <alignment horizontal="left" vertical="center" wrapText="1"/>
    </xf>
    <xf numFmtId="0" fontId="7" fillId="0" borderId="3" xfId="0" applyFont="1" applyBorder="1" applyAlignment="1">
      <alignment horizontal="left" vertical="center" wrapText="1"/>
    </xf>
    <xf numFmtId="0" fontId="59" fillId="0" borderId="75" xfId="0" applyFont="1" applyBorder="1" applyAlignment="1">
      <alignment horizontal="center" vertical="center" wrapText="1"/>
    </xf>
    <xf numFmtId="49" fontId="2" fillId="0" borderId="128" xfId="0" applyNumberFormat="1" applyFont="1" applyBorder="1" applyAlignment="1" applyProtection="1">
      <alignment horizontal="left" vertical="center" wrapText="1"/>
      <protection locked="0"/>
    </xf>
    <xf numFmtId="49" fontId="2" fillId="0" borderId="75" xfId="0" applyNumberFormat="1" applyFont="1" applyBorder="1" applyAlignment="1" applyProtection="1">
      <alignment horizontal="left" vertical="center" wrapText="1"/>
      <protection locked="0"/>
    </xf>
    <xf numFmtId="49" fontId="2" fillId="0" borderId="129" xfId="0" applyNumberFormat="1" applyFont="1" applyBorder="1" applyAlignment="1" applyProtection="1">
      <alignment horizontal="left" vertical="center" wrapText="1"/>
      <protection locked="0"/>
    </xf>
    <xf numFmtId="0" fontId="67" fillId="0" borderId="1" xfId="0" applyFont="1" applyBorder="1" applyAlignment="1">
      <alignment horizontal="center" vertical="center" wrapText="1"/>
    </xf>
    <xf numFmtId="0" fontId="2" fillId="0" borderId="125" xfId="0" applyFont="1" applyBorder="1" applyAlignment="1" applyProtection="1">
      <alignment horizontal="left" vertical="center"/>
      <protection locked="0"/>
    </xf>
    <xf numFmtId="0" fontId="2" fillId="0" borderId="126" xfId="0" applyFont="1" applyBorder="1" applyAlignment="1" applyProtection="1">
      <alignment horizontal="left" vertical="center"/>
      <protection locked="0"/>
    </xf>
    <xf numFmtId="49" fontId="2" fillId="0" borderId="3" xfId="0" applyNumberFormat="1" applyFont="1" applyBorder="1" applyAlignment="1" applyProtection="1">
      <alignment vertical="center"/>
      <protection locked="0"/>
    </xf>
    <xf numFmtId="49" fontId="2" fillId="0" borderId="4" xfId="0" applyNumberFormat="1" applyFont="1" applyBorder="1" applyAlignment="1" applyProtection="1">
      <alignment vertical="center"/>
      <protection locked="0"/>
    </xf>
    <xf numFmtId="0" fontId="8" fillId="0" borderId="87" xfId="0" applyFont="1" applyBorder="1" applyAlignment="1">
      <alignment vertical="center"/>
    </xf>
    <xf numFmtId="0" fontId="8" fillId="0" borderId="88" xfId="0" applyFont="1" applyBorder="1" applyAlignment="1">
      <alignment vertical="center"/>
    </xf>
    <xf numFmtId="0" fontId="46" fillId="10" borderId="107" xfId="0" applyFont="1" applyFill="1" applyBorder="1" applyAlignment="1">
      <alignment horizontal="center" vertical="center" wrapText="1"/>
    </xf>
    <xf numFmtId="0" fontId="46" fillId="10" borderId="108" xfId="0" applyFont="1" applyFill="1" applyBorder="1" applyAlignment="1">
      <alignment horizontal="center" vertical="center" wrapText="1"/>
    </xf>
    <xf numFmtId="0" fontId="46" fillId="10" borderId="109" xfId="0" applyFont="1" applyFill="1" applyBorder="1" applyAlignment="1">
      <alignment horizontal="center" vertical="center" wrapText="1"/>
    </xf>
    <xf numFmtId="0" fontId="43" fillId="0" borderId="4" xfId="1" applyFont="1" applyBorder="1" applyAlignment="1">
      <alignment horizontal="left" vertical="center" wrapText="1"/>
    </xf>
    <xf numFmtId="0" fontId="43" fillId="0" borderId="98" xfId="1" applyFont="1" applyBorder="1" applyAlignment="1">
      <alignment horizontal="left" vertical="center" wrapText="1"/>
    </xf>
    <xf numFmtId="49" fontId="2" fillId="0" borderId="3" xfId="0" applyNumberFormat="1" applyFont="1" applyBorder="1" applyAlignment="1" applyProtection="1">
      <alignment horizontal="left" vertical="center"/>
      <protection locked="0"/>
    </xf>
    <xf numFmtId="49" fontId="2" fillId="0" borderId="4" xfId="0" applyNumberFormat="1" applyFont="1" applyBorder="1" applyAlignment="1" applyProtection="1">
      <alignment horizontal="left" vertical="center"/>
      <protection locked="0"/>
    </xf>
    <xf numFmtId="49" fontId="2" fillId="0" borderId="23" xfId="0" applyNumberFormat="1" applyFont="1" applyBorder="1" applyAlignment="1" applyProtection="1">
      <alignment vertical="center"/>
      <protection locked="0"/>
    </xf>
    <xf numFmtId="49" fontId="2" fillId="0" borderId="3" xfId="0" applyNumberFormat="1" applyFont="1" applyBorder="1" applyAlignment="1" applyProtection="1">
      <alignment horizontal="left" vertical="center" wrapText="1"/>
      <protection locked="0"/>
    </xf>
    <xf numFmtId="49" fontId="2" fillId="0" borderId="4" xfId="0" applyNumberFormat="1" applyFont="1" applyBorder="1" applyAlignment="1" applyProtection="1">
      <alignment horizontal="left" vertical="center" wrapText="1"/>
      <protection locked="0"/>
    </xf>
    <xf numFmtId="49" fontId="2" fillId="0" borderId="23" xfId="0" applyNumberFormat="1" applyFont="1" applyBorder="1" applyAlignment="1" applyProtection="1">
      <alignment horizontal="left" vertical="center" wrapText="1"/>
      <protection locked="0"/>
    </xf>
    <xf numFmtId="0" fontId="8" fillId="0" borderId="2" xfId="0" applyFont="1" applyBorder="1" applyAlignment="1">
      <alignment vertical="center"/>
    </xf>
    <xf numFmtId="0" fontId="1" fillId="0" borderId="3" xfId="0" applyFont="1" applyBorder="1" applyAlignment="1" applyProtection="1">
      <alignment vertical="center"/>
      <protection locked="0"/>
    </xf>
    <xf numFmtId="0" fontId="1" fillId="0" borderId="4" xfId="0" applyFont="1" applyBorder="1" applyAlignment="1" applyProtection="1">
      <alignment vertical="center"/>
      <protection locked="0"/>
    </xf>
    <xf numFmtId="49" fontId="0" fillId="0" borderId="1" xfId="0" applyNumberFormat="1" applyBorder="1" applyAlignment="1" applyProtection="1">
      <alignment vertical="center" wrapText="1"/>
      <protection locked="0"/>
    </xf>
    <xf numFmtId="0" fontId="7" fillId="0" borderId="6" xfId="0" applyFont="1" applyBorder="1" applyAlignment="1">
      <alignment horizontal="left" vertical="center" wrapText="1"/>
    </xf>
    <xf numFmtId="0" fontId="7" fillId="0" borderId="7" xfId="0" applyFont="1" applyBorder="1" applyAlignment="1">
      <alignment horizontal="left" vertical="center" wrapText="1"/>
    </xf>
    <xf numFmtId="0" fontId="1" fillId="0" borderId="3" xfId="0" applyFont="1" applyBorder="1" applyAlignment="1" applyProtection="1">
      <alignment vertical="center" wrapText="1"/>
      <protection locked="0"/>
    </xf>
    <xf numFmtId="0" fontId="1" fillId="0" borderId="4" xfId="0" applyFont="1" applyBorder="1" applyAlignment="1" applyProtection="1">
      <alignment vertical="center" wrapText="1"/>
      <protection locked="0"/>
    </xf>
    <xf numFmtId="0" fontId="1" fillId="0" borderId="23" xfId="0" applyFont="1" applyBorder="1" applyAlignment="1" applyProtection="1">
      <alignment vertical="center" wrapText="1"/>
      <protection locked="0"/>
    </xf>
    <xf numFmtId="49" fontId="0" fillId="0" borderId="3" xfId="0" applyNumberFormat="1" applyBorder="1" applyAlignment="1" applyProtection="1">
      <alignment vertical="center" wrapText="1"/>
      <protection locked="0"/>
    </xf>
    <xf numFmtId="49" fontId="0" fillId="0" borderId="4" xfId="0" applyNumberFormat="1" applyBorder="1" applyAlignment="1" applyProtection="1">
      <alignment vertical="center" wrapText="1"/>
      <protection locked="0"/>
    </xf>
    <xf numFmtId="49" fontId="0" fillId="0" borderId="23" xfId="0" applyNumberFormat="1" applyBorder="1" applyAlignment="1" applyProtection="1">
      <alignment vertical="center" wrapText="1"/>
      <protection locked="0"/>
    </xf>
    <xf numFmtId="49" fontId="0" fillId="0" borderId="3" xfId="0" applyNumberFormat="1" applyBorder="1" applyAlignment="1" applyProtection="1">
      <alignment vertical="center"/>
      <protection locked="0"/>
    </xf>
    <xf numFmtId="49" fontId="0" fillId="0" borderId="4" xfId="0" applyNumberFormat="1" applyBorder="1" applyAlignment="1" applyProtection="1">
      <alignment vertical="center"/>
      <protection locked="0"/>
    </xf>
    <xf numFmtId="0" fontId="2" fillId="0" borderId="3" xfId="0" applyFont="1" applyBorder="1" applyAlignment="1" applyProtection="1">
      <alignment horizontal="left" vertical="center"/>
      <protection locked="0"/>
    </xf>
    <xf numFmtId="0" fontId="2" fillId="0" borderId="4" xfId="0" applyFont="1" applyBorder="1" applyAlignment="1" applyProtection="1">
      <alignment horizontal="left" vertical="center"/>
      <protection locked="0"/>
    </xf>
    <xf numFmtId="0" fontId="2" fillId="0" borderId="1" xfId="0" applyFont="1" applyBorder="1" applyAlignment="1" applyProtection="1">
      <alignment vertical="center"/>
      <protection locked="0"/>
    </xf>
    <xf numFmtId="0" fontId="2" fillId="0" borderId="3" xfId="0" applyFont="1" applyBorder="1" applyAlignment="1" applyProtection="1">
      <alignment vertical="center"/>
      <protection locked="0"/>
    </xf>
    <xf numFmtId="0" fontId="7" fillId="0" borderId="9" xfId="0" applyFont="1" applyBorder="1" applyAlignment="1">
      <alignment vertical="center" wrapText="1"/>
    </xf>
    <xf numFmtId="0" fontId="7" fillId="0" borderId="6" xfId="0" applyFont="1" applyBorder="1" applyAlignment="1">
      <alignment vertical="center" wrapText="1"/>
    </xf>
    <xf numFmtId="0" fontId="0" fillId="0" borderId="3" xfId="0" applyBorder="1" applyAlignment="1" applyProtection="1">
      <alignment horizontal="left" vertical="center" wrapText="1"/>
      <protection locked="0"/>
    </xf>
    <xf numFmtId="0" fontId="0" fillId="0" borderId="4" xfId="0" applyBorder="1" applyAlignment="1" applyProtection="1">
      <alignment horizontal="left" vertical="center" wrapText="1"/>
      <protection locked="0"/>
    </xf>
    <xf numFmtId="0" fontId="8" fillId="0" borderId="1" xfId="0" applyFont="1" applyBorder="1" applyAlignment="1">
      <alignment horizontal="left" vertical="center" wrapText="1"/>
    </xf>
    <xf numFmtId="0" fontId="9" fillId="0" borderId="1" xfId="0" applyFont="1" applyBorder="1" applyAlignment="1" applyProtection="1">
      <alignment horizontal="left" vertical="center" wrapText="1"/>
      <protection locked="0"/>
    </xf>
    <xf numFmtId="0" fontId="9" fillId="0" borderId="3" xfId="0" applyFont="1" applyBorder="1" applyAlignment="1" applyProtection="1">
      <alignment horizontal="left" vertical="center" wrapText="1"/>
      <protection locked="0"/>
    </xf>
    <xf numFmtId="0" fontId="7" fillId="0" borderId="5" xfId="0" applyFont="1" applyBorder="1" applyAlignment="1">
      <alignment horizontal="left" vertical="center" wrapText="1"/>
    </xf>
    <xf numFmtId="0" fontId="45" fillId="0" borderId="74" xfId="0" applyFont="1" applyBorder="1" applyAlignment="1">
      <alignment horizontal="center" vertical="center" wrapText="1"/>
    </xf>
    <xf numFmtId="0" fontId="9" fillId="0" borderId="3" xfId="0" applyFont="1" applyBorder="1" applyAlignment="1" applyProtection="1">
      <alignment vertical="center"/>
      <protection locked="0"/>
    </xf>
    <xf numFmtId="0" fontId="9" fillId="0" borderId="4" xfId="0" applyFont="1" applyBorder="1" applyAlignment="1" applyProtection="1">
      <alignment vertical="center"/>
      <protection locked="0"/>
    </xf>
    <xf numFmtId="0" fontId="58" fillId="0" borderId="85" xfId="0" applyFont="1" applyBorder="1" applyAlignment="1">
      <alignment horizontal="center" vertical="center" wrapText="1"/>
    </xf>
    <xf numFmtId="0" fontId="0" fillId="0" borderId="85" xfId="0" applyBorder="1" applyAlignment="1">
      <alignment vertical="center" wrapText="1"/>
    </xf>
    <xf numFmtId="164" fontId="0" fillId="0" borderId="102" xfId="0" applyNumberFormat="1" applyBorder="1" applyAlignment="1" applyProtection="1">
      <alignment horizontal="left" vertical="center" wrapText="1"/>
      <protection locked="0"/>
    </xf>
    <xf numFmtId="164" fontId="0" fillId="0" borderId="13" xfId="0" applyNumberFormat="1" applyBorder="1" applyAlignment="1" applyProtection="1">
      <alignment horizontal="left" vertical="center" wrapText="1"/>
      <protection locked="0"/>
    </xf>
    <xf numFmtId="164" fontId="0" fillId="0" borderId="28" xfId="0" applyNumberFormat="1" applyBorder="1" applyAlignment="1" applyProtection="1">
      <alignment horizontal="left" vertical="center" wrapText="1"/>
      <protection locked="0"/>
    </xf>
    <xf numFmtId="0" fontId="9" fillId="0" borderId="4" xfId="0" applyFont="1" applyBorder="1" applyAlignment="1" applyProtection="1">
      <alignment horizontal="left" vertical="center" wrapText="1"/>
      <protection locked="0"/>
    </xf>
    <xf numFmtId="0" fontId="9" fillId="0" borderId="2" xfId="0" applyFont="1" applyBorder="1" applyAlignment="1" applyProtection="1">
      <alignment horizontal="left" vertical="center" wrapText="1"/>
      <protection locked="0"/>
    </xf>
    <xf numFmtId="0" fontId="67" fillId="0" borderId="3" xfId="0" applyFont="1" applyBorder="1" applyAlignment="1">
      <alignment horizontal="center" vertical="center" wrapText="1"/>
    </xf>
    <xf numFmtId="0" fontId="67" fillId="0" borderId="4" xfId="0" applyFont="1" applyBorder="1" applyAlignment="1">
      <alignment horizontal="center" vertical="center" wrapText="1"/>
    </xf>
    <xf numFmtId="0" fontId="67" fillId="0" borderId="23" xfId="0" applyFont="1" applyBorder="1" applyAlignment="1">
      <alignment horizontal="center" vertical="center" wrapText="1"/>
    </xf>
    <xf numFmtId="0" fontId="46" fillId="10" borderId="119" xfId="0" applyFont="1" applyFill="1" applyBorder="1" applyAlignment="1">
      <alignment horizontal="center" vertical="center" wrapText="1"/>
    </xf>
    <xf numFmtId="0" fontId="46" fillId="10" borderId="120" xfId="0" applyFont="1" applyFill="1" applyBorder="1" applyAlignment="1">
      <alignment horizontal="center" vertical="center" wrapText="1"/>
    </xf>
    <xf numFmtId="0" fontId="46" fillId="10" borderId="121" xfId="0" applyFont="1" applyFill="1" applyBorder="1" applyAlignment="1">
      <alignment horizontal="center" vertical="center" wrapText="1"/>
    </xf>
    <xf numFmtId="0" fontId="9" fillId="0" borderId="1" xfId="0" applyFont="1" applyBorder="1" applyAlignment="1" applyProtection="1">
      <alignment horizontal="center" vertical="center" wrapText="1"/>
      <protection locked="0"/>
    </xf>
    <xf numFmtId="0" fontId="9" fillId="0" borderId="3" xfId="0" applyFont="1" applyBorder="1" applyAlignment="1" applyProtection="1">
      <alignment horizontal="center" vertical="center" wrapText="1"/>
      <protection locked="0"/>
    </xf>
    <xf numFmtId="0" fontId="42" fillId="0" borderId="22" xfId="0" applyFont="1" applyBorder="1" applyAlignment="1">
      <alignment horizontal="center" vertical="center"/>
    </xf>
    <xf numFmtId="0" fontId="8" fillId="0" borderId="6" xfId="0" applyFont="1" applyBorder="1" applyAlignment="1">
      <alignment horizontal="left" vertical="top"/>
    </xf>
    <xf numFmtId="0" fontId="8" fillId="0" borderId="7" xfId="0" applyFont="1" applyBorder="1" applyAlignment="1">
      <alignment horizontal="left" vertical="top"/>
    </xf>
    <xf numFmtId="0" fontId="9" fillId="0" borderId="11" xfId="0" applyFont="1" applyBorder="1" applyAlignment="1" applyProtection="1">
      <alignment vertical="center" wrapText="1"/>
      <protection locked="0"/>
    </xf>
    <xf numFmtId="0" fontId="9" fillId="0" borderId="10" xfId="0" applyFont="1" applyBorder="1" applyAlignment="1" applyProtection="1">
      <alignment vertical="center" wrapText="1"/>
      <protection locked="0"/>
    </xf>
    <xf numFmtId="0" fontId="20" fillId="11" borderId="95" xfId="0" applyFont="1" applyFill="1" applyBorder="1" applyAlignment="1">
      <alignment horizontal="left" vertical="center" wrapText="1"/>
    </xf>
    <xf numFmtId="0" fontId="20" fillId="11" borderId="18" xfId="0" applyFont="1" applyFill="1" applyBorder="1" applyAlignment="1">
      <alignment horizontal="left" vertical="center" wrapText="1"/>
    </xf>
    <xf numFmtId="0" fontId="46" fillId="10" borderId="78" xfId="0" applyFont="1" applyFill="1" applyBorder="1" applyAlignment="1">
      <alignment horizontal="center" vertical="center"/>
    </xf>
    <xf numFmtId="0" fontId="46" fillId="10" borderId="79" xfId="0" applyFont="1" applyFill="1" applyBorder="1" applyAlignment="1">
      <alignment horizontal="center" vertical="center"/>
    </xf>
    <xf numFmtId="0" fontId="46" fillId="10" borderId="80" xfId="0" applyFont="1" applyFill="1" applyBorder="1" applyAlignment="1">
      <alignment horizontal="center" vertical="center"/>
    </xf>
    <xf numFmtId="0" fontId="7" fillId="11" borderId="95" xfId="0" applyFont="1" applyFill="1" applyBorder="1" applyAlignment="1">
      <alignment horizontal="left" vertical="center" wrapText="1"/>
    </xf>
    <xf numFmtId="49" fontId="2" fillId="0" borderId="2" xfId="0" applyNumberFormat="1" applyFont="1" applyBorder="1" applyAlignment="1" applyProtection="1">
      <alignment horizontal="left" vertical="center" wrapText="1"/>
      <protection locked="0"/>
    </xf>
    <xf numFmtId="0" fontId="7" fillId="11" borderId="112" xfId="0" applyFont="1" applyFill="1" applyBorder="1" applyAlignment="1">
      <alignment horizontal="left" vertical="center" wrapText="1"/>
    </xf>
    <xf numFmtId="0" fontId="7" fillId="11" borderId="18" xfId="0" applyFont="1" applyFill="1" applyBorder="1" applyAlignment="1">
      <alignment horizontal="left" vertical="center" wrapText="1"/>
    </xf>
    <xf numFmtId="0" fontId="3" fillId="0" borderId="3" xfId="0" applyFont="1" applyBorder="1" applyAlignment="1" applyProtection="1">
      <alignment horizontal="left" vertical="center"/>
      <protection locked="0"/>
    </xf>
    <xf numFmtId="0" fontId="3" fillId="0" borderId="4" xfId="0" applyFont="1" applyBorder="1" applyAlignment="1" applyProtection="1">
      <alignment horizontal="left" vertical="center"/>
      <protection locked="0"/>
    </xf>
    <xf numFmtId="0" fontId="3" fillId="0" borderId="23" xfId="0" applyFont="1" applyBorder="1" applyAlignment="1" applyProtection="1">
      <alignment horizontal="left" vertical="center"/>
      <protection locked="0"/>
    </xf>
    <xf numFmtId="49" fontId="2" fillId="0" borderId="101" xfId="0" applyNumberFormat="1" applyFont="1" applyBorder="1" applyAlignment="1" applyProtection="1">
      <alignment horizontal="left" vertical="center" wrapText="1"/>
      <protection locked="0"/>
    </xf>
    <xf numFmtId="49" fontId="2" fillId="0" borderId="99" xfId="0" applyNumberFormat="1" applyFont="1" applyBorder="1" applyAlignment="1" applyProtection="1">
      <alignment horizontal="left" vertical="center" wrapText="1"/>
      <protection locked="0"/>
    </xf>
    <xf numFmtId="49" fontId="2" fillId="0" borderId="100" xfId="0" applyNumberFormat="1" applyFont="1" applyBorder="1" applyAlignment="1" applyProtection="1">
      <alignment horizontal="left" vertical="center" wrapText="1"/>
      <protection locked="0"/>
    </xf>
    <xf numFmtId="0" fontId="55" fillId="14" borderId="155" xfId="0" applyFont="1" applyFill="1" applyBorder="1" applyAlignment="1">
      <alignment horizontal="center" vertical="center" wrapText="1"/>
    </xf>
    <xf numFmtId="0" fontId="6" fillId="0" borderId="20" xfId="0" applyFont="1" applyBorder="1" applyAlignment="1">
      <alignment horizontal="left" vertical="center" wrapText="1"/>
    </xf>
    <xf numFmtId="0" fontId="6" fillId="0" borderId="10" xfId="0" applyFont="1" applyBorder="1" applyAlignment="1">
      <alignment horizontal="left" vertical="center" wrapText="1"/>
    </xf>
    <xf numFmtId="0" fontId="6" fillId="0" borderId="5" xfId="0" applyFont="1" applyBorder="1" applyAlignment="1">
      <alignment horizontal="left" vertical="center" wrapText="1"/>
    </xf>
    <xf numFmtId="49" fontId="2" fillId="0" borderId="3" xfId="0" applyNumberFormat="1" applyFont="1" applyBorder="1" applyAlignment="1" applyProtection="1">
      <alignment horizontal="center" vertical="center" wrapText="1"/>
      <protection locked="0"/>
    </xf>
    <xf numFmtId="49" fontId="2" fillId="0" borderId="4" xfId="0" applyNumberFormat="1" applyFont="1" applyBorder="1" applyAlignment="1" applyProtection="1">
      <alignment horizontal="center" vertical="center" wrapText="1"/>
      <protection locked="0"/>
    </xf>
    <xf numFmtId="49" fontId="2" fillId="0" borderId="23" xfId="0" applyNumberFormat="1" applyFont="1" applyBorder="1" applyAlignment="1" applyProtection="1">
      <alignment horizontal="center" vertical="center" wrapText="1"/>
      <protection locked="0"/>
    </xf>
    <xf numFmtId="49" fontId="2" fillId="0" borderId="81" xfId="0" applyNumberFormat="1" applyFont="1" applyBorder="1" applyAlignment="1" applyProtection="1">
      <alignment horizontal="left" vertical="center" wrapText="1"/>
      <protection locked="0"/>
    </xf>
    <xf numFmtId="49" fontId="2" fillId="0" borderId="82" xfId="0" applyNumberFormat="1" applyFont="1" applyBorder="1" applyAlignment="1" applyProtection="1">
      <alignment horizontal="left" vertical="center" wrapText="1"/>
      <protection locked="0"/>
    </xf>
    <xf numFmtId="49" fontId="2" fillId="0" borderId="103" xfId="0" applyNumberFormat="1" applyFont="1" applyBorder="1" applyAlignment="1" applyProtection="1">
      <alignment horizontal="left" vertical="center" wrapText="1"/>
      <protection locked="0"/>
    </xf>
    <xf numFmtId="0" fontId="3" fillId="0" borderId="3" xfId="0" applyFont="1" applyBorder="1" applyAlignment="1" applyProtection="1">
      <alignment horizontal="center" vertical="center"/>
      <protection locked="0"/>
    </xf>
    <xf numFmtId="0" fontId="3" fillId="0" borderId="4" xfId="0" applyFont="1" applyBorder="1" applyAlignment="1" applyProtection="1">
      <alignment horizontal="center" vertical="center"/>
      <protection locked="0"/>
    </xf>
    <xf numFmtId="0" fontId="3" fillId="0" borderId="23" xfId="0" applyFont="1" applyBorder="1" applyAlignment="1" applyProtection="1">
      <alignment horizontal="center" vertical="center"/>
      <protection locked="0"/>
    </xf>
    <xf numFmtId="0" fontId="0" fillId="0" borderId="32" xfId="0" applyBorder="1" applyAlignment="1">
      <alignment vertical="top" wrapText="1"/>
    </xf>
    <xf numFmtId="0" fontId="57" fillId="0" borderId="4" xfId="0" applyFont="1" applyBorder="1" applyAlignment="1">
      <alignment horizontal="left" vertical="center" wrapText="1"/>
    </xf>
    <xf numFmtId="49" fontId="21" fillId="0" borderId="3" xfId="0" applyNumberFormat="1" applyFont="1" applyBorder="1" applyAlignment="1" applyProtection="1">
      <alignment horizontal="left" vertical="center"/>
      <protection locked="0"/>
    </xf>
    <xf numFmtId="49" fontId="21" fillId="0" borderId="4" xfId="0" applyNumberFormat="1" applyFont="1" applyBorder="1" applyAlignment="1" applyProtection="1">
      <alignment horizontal="left" vertical="center"/>
      <protection locked="0"/>
    </xf>
    <xf numFmtId="0" fontId="20" fillId="11" borderId="112" xfId="0" applyFont="1" applyFill="1" applyBorder="1" applyAlignment="1">
      <alignment horizontal="left" vertical="center" wrapText="1"/>
    </xf>
    <xf numFmtId="0" fontId="6" fillId="0" borderId="24" xfId="0" applyFont="1" applyBorder="1" applyAlignment="1">
      <alignment horizontal="left" vertical="center" wrapText="1"/>
    </xf>
    <xf numFmtId="0" fontId="6" fillId="0" borderId="9" xfId="0" applyFont="1" applyBorder="1" applyAlignment="1">
      <alignment horizontal="left" vertical="center" wrapText="1"/>
    </xf>
    <xf numFmtId="0" fontId="6" fillId="0" borderId="6" xfId="0" applyFont="1" applyBorder="1" applyAlignment="1">
      <alignment horizontal="left" vertical="center" wrapText="1"/>
    </xf>
    <xf numFmtId="0" fontId="44" fillId="14" borderId="58" xfId="0" applyFont="1" applyFill="1" applyBorder="1" applyAlignment="1">
      <alignment horizontal="center" vertical="center" wrapText="1"/>
    </xf>
    <xf numFmtId="0" fontId="56" fillId="14" borderId="155" xfId="1" applyFont="1" applyFill="1" applyBorder="1" applyAlignment="1">
      <alignment horizontal="center" vertical="center"/>
    </xf>
    <xf numFmtId="0" fontId="2" fillId="0" borderId="7" xfId="0" applyFont="1" applyBorder="1" applyAlignment="1" applyProtection="1">
      <alignment vertical="center"/>
      <protection locked="0"/>
    </xf>
    <xf numFmtId="0" fontId="2" fillId="0" borderId="110" xfId="0" applyFont="1" applyBorder="1" applyAlignment="1" applyProtection="1">
      <alignment vertical="center"/>
      <protection locked="0"/>
    </xf>
    <xf numFmtId="0" fontId="2" fillId="0" borderId="8" xfId="0" applyFont="1" applyBorder="1" applyAlignment="1" applyProtection="1">
      <alignment vertical="center"/>
      <protection locked="0"/>
    </xf>
    <xf numFmtId="0" fontId="2" fillId="0" borderId="11" xfId="0" applyFont="1" applyBorder="1" applyAlignment="1" applyProtection="1">
      <alignment vertical="center"/>
      <protection locked="0"/>
    </xf>
    <xf numFmtId="0" fontId="55" fillId="0" borderId="3" xfId="1" quotePrefix="1" applyNumberFormat="1" applyFont="1" applyBorder="1" applyAlignment="1" applyProtection="1">
      <alignment horizontal="center" vertical="center" wrapText="1"/>
    </xf>
    <xf numFmtId="0" fontId="55" fillId="0" borderId="4" xfId="1" quotePrefix="1" applyNumberFormat="1" applyFont="1" applyBorder="1" applyAlignment="1" applyProtection="1">
      <alignment horizontal="center" vertical="center" wrapText="1"/>
    </xf>
    <xf numFmtId="0" fontId="55" fillId="0" borderId="23" xfId="1" quotePrefix="1" applyNumberFormat="1" applyFont="1" applyBorder="1" applyAlignment="1" applyProtection="1">
      <alignment horizontal="center" vertical="center" wrapText="1"/>
    </xf>
    <xf numFmtId="49" fontId="1" fillId="0" borderId="3" xfId="0" applyNumberFormat="1" applyFont="1" applyBorder="1" applyAlignment="1" applyProtection="1">
      <alignment wrapText="1"/>
      <protection locked="0"/>
    </xf>
    <xf numFmtId="49" fontId="1" fillId="0" borderId="4" xfId="0" applyNumberFormat="1" applyFont="1" applyBorder="1" applyAlignment="1" applyProtection="1">
      <alignment wrapText="1"/>
      <protection locked="0"/>
    </xf>
    <xf numFmtId="49" fontId="1" fillId="0" borderId="23" xfId="0" applyNumberFormat="1" applyFont="1" applyBorder="1" applyAlignment="1" applyProtection="1">
      <alignment wrapText="1"/>
      <protection locked="0"/>
    </xf>
    <xf numFmtId="0" fontId="7" fillId="0" borderId="1" xfId="0" applyFont="1" applyBorder="1" applyAlignment="1">
      <alignment horizontal="left" vertical="center" wrapText="1"/>
    </xf>
    <xf numFmtId="49" fontId="2" fillId="0" borderId="1" xfId="0" applyNumberFormat="1" applyFont="1" applyBorder="1" applyAlignment="1" applyProtection="1">
      <alignment horizontal="left" vertical="center" wrapText="1"/>
      <protection locked="0"/>
    </xf>
    <xf numFmtId="0" fontId="8" fillId="0" borderId="4" xfId="0" applyFont="1" applyBorder="1" applyAlignment="1">
      <alignment vertical="center" wrapText="1"/>
    </xf>
    <xf numFmtId="0" fontId="8" fillId="0" borderId="2" xfId="0" applyFont="1" applyBorder="1" applyAlignment="1">
      <alignment vertical="center" wrapText="1"/>
    </xf>
    <xf numFmtId="49" fontId="2" fillId="0" borderId="2" xfId="0" applyNumberFormat="1" applyFont="1" applyBorder="1" applyAlignment="1" applyProtection="1">
      <alignment vertical="center" wrapText="1"/>
      <protection locked="0"/>
    </xf>
    <xf numFmtId="49" fontId="21" fillId="0" borderId="3" xfId="0" applyNumberFormat="1" applyFont="1" applyBorder="1" applyAlignment="1" applyProtection="1">
      <alignment horizontal="center" vertical="center"/>
      <protection locked="0"/>
    </xf>
    <xf numFmtId="49" fontId="21" fillId="0" borderId="4" xfId="0" applyNumberFormat="1" applyFont="1" applyBorder="1" applyAlignment="1" applyProtection="1">
      <alignment horizontal="center" vertical="center"/>
      <protection locked="0"/>
    </xf>
    <xf numFmtId="49" fontId="2" fillId="0" borderId="104" xfId="0" applyNumberFormat="1" applyFont="1" applyBorder="1" applyAlignment="1" applyProtection="1">
      <alignment vertical="center" wrapText="1"/>
      <protection locked="0"/>
    </xf>
    <xf numFmtId="49" fontId="2" fillId="0" borderId="105" xfId="0" applyNumberFormat="1" applyFont="1" applyBorder="1" applyAlignment="1" applyProtection="1">
      <alignment vertical="center" wrapText="1"/>
      <protection locked="0"/>
    </xf>
    <xf numFmtId="49" fontId="2" fillId="0" borderId="106" xfId="0" applyNumberFormat="1" applyFont="1" applyBorder="1" applyAlignment="1" applyProtection="1">
      <alignment vertical="center" wrapText="1"/>
      <protection locked="0"/>
    </xf>
    <xf numFmtId="0" fontId="7" fillId="0" borderId="4" xfId="0" applyFont="1" applyBorder="1" applyAlignment="1">
      <alignment horizontal="left" vertical="center"/>
    </xf>
    <xf numFmtId="0" fontId="7" fillId="0" borderId="2" xfId="0" applyFont="1" applyBorder="1" applyAlignment="1">
      <alignment horizontal="left" vertical="center"/>
    </xf>
    <xf numFmtId="0" fontId="7" fillId="0" borderId="9" xfId="0" applyFont="1" applyBorder="1" applyAlignment="1">
      <alignment horizontal="left" vertical="center"/>
    </xf>
    <xf numFmtId="0" fontId="7" fillId="0" borderId="6" xfId="0" applyFont="1" applyBorder="1" applyAlignment="1">
      <alignment horizontal="left" vertical="center"/>
    </xf>
    <xf numFmtId="0" fontId="7" fillId="0" borderId="75" xfId="0" applyFont="1" applyBorder="1" applyAlignment="1">
      <alignment vertical="center" wrapText="1"/>
    </xf>
    <xf numFmtId="0" fontId="46" fillId="10" borderId="114" xfId="0" applyFont="1" applyFill="1" applyBorder="1" applyAlignment="1">
      <alignment horizontal="center"/>
    </xf>
    <xf numFmtId="0" fontId="46" fillId="10" borderId="115" xfId="0" applyFont="1" applyFill="1" applyBorder="1" applyAlignment="1">
      <alignment horizontal="center"/>
    </xf>
    <xf numFmtId="0" fontId="46" fillId="10" borderId="116" xfId="0" applyFont="1" applyFill="1" applyBorder="1" applyAlignment="1">
      <alignment horizontal="center"/>
    </xf>
    <xf numFmtId="0" fontId="0" fillId="0" borderId="4" xfId="0" applyBorder="1" applyAlignment="1">
      <alignment horizontal="center" vertical="center" wrapText="1"/>
    </xf>
    <xf numFmtId="49" fontId="2" fillId="0" borderId="10" xfId="0" applyNumberFormat="1" applyFont="1" applyBorder="1" applyAlignment="1" applyProtection="1">
      <alignment vertical="center"/>
      <protection locked="0"/>
    </xf>
    <xf numFmtId="49" fontId="2" fillId="0" borderId="86" xfId="0" applyNumberFormat="1" applyFont="1" applyBorder="1" applyAlignment="1" applyProtection="1">
      <alignment vertical="center"/>
      <protection locked="0"/>
    </xf>
    <xf numFmtId="49" fontId="2" fillId="0" borderId="87" xfId="0" applyNumberFormat="1" applyFont="1" applyBorder="1" applyAlignment="1" applyProtection="1">
      <alignment vertical="center"/>
      <protection locked="0"/>
    </xf>
    <xf numFmtId="0" fontId="11" fillId="0" borderId="75" xfId="1" quotePrefix="1" applyNumberFormat="1" applyBorder="1" applyAlignment="1" applyProtection="1">
      <alignment horizontal="center" vertical="center" wrapText="1"/>
      <protection locked="0"/>
    </xf>
    <xf numFmtId="0" fontId="11" fillId="0" borderId="75" xfId="1" applyNumberFormat="1" applyBorder="1" applyAlignment="1" applyProtection="1">
      <alignment horizontal="center" vertical="center" wrapText="1"/>
      <protection locked="0"/>
    </xf>
    <xf numFmtId="49" fontId="2" fillId="0" borderId="9" xfId="0" applyNumberFormat="1" applyFont="1" applyBorder="1" applyAlignment="1" applyProtection="1">
      <alignment vertical="center"/>
      <protection locked="0"/>
    </xf>
    <xf numFmtId="0" fontId="59" fillId="0" borderId="4" xfId="0" applyFont="1" applyBorder="1" applyAlignment="1">
      <alignment horizontal="left" vertical="center" wrapText="1" shrinkToFit="1"/>
    </xf>
    <xf numFmtId="0" fontId="7" fillId="0" borderId="0" xfId="0" applyFont="1" applyAlignment="1">
      <alignment horizontal="left" vertical="center"/>
    </xf>
    <xf numFmtId="0" fontId="2" fillId="0" borderId="3" xfId="0" applyFont="1" applyBorder="1" applyAlignment="1" applyProtection="1">
      <alignment horizontal="left" vertical="center" wrapText="1"/>
      <protection locked="0"/>
    </xf>
    <xf numFmtId="0" fontId="2" fillId="0" borderId="4" xfId="0" applyFont="1" applyBorder="1" applyAlignment="1" applyProtection="1">
      <alignment horizontal="left" vertical="center" wrapText="1"/>
      <protection locked="0"/>
    </xf>
    <xf numFmtId="0" fontId="2" fillId="0" borderId="23" xfId="0" applyFont="1" applyBorder="1" applyAlignment="1" applyProtection="1">
      <alignment horizontal="left" vertical="center" wrapText="1"/>
      <protection locked="0"/>
    </xf>
    <xf numFmtId="0" fontId="7" fillId="0" borderId="4" xfId="0" applyFont="1" applyBorder="1" applyAlignment="1">
      <alignment horizontal="left" vertical="top" wrapText="1"/>
    </xf>
    <xf numFmtId="0" fontId="2" fillId="0" borderId="3" xfId="0" applyFont="1" applyBorder="1" applyAlignment="1" applyProtection="1">
      <alignment horizontal="center" vertical="center"/>
      <protection locked="0"/>
    </xf>
    <xf numFmtId="0" fontId="2" fillId="0" borderId="2" xfId="0" applyFont="1" applyBorder="1" applyAlignment="1" applyProtection="1">
      <alignment horizontal="center" vertical="center"/>
      <protection locked="0"/>
    </xf>
    <xf numFmtId="0" fontId="2" fillId="0" borderId="3" xfId="0" applyFont="1" applyBorder="1" applyAlignment="1" applyProtection="1">
      <alignment horizontal="center" vertical="center" wrapText="1"/>
      <protection locked="0"/>
    </xf>
    <xf numFmtId="0" fontId="2" fillId="0" borderId="154" xfId="0" applyFont="1" applyBorder="1" applyAlignment="1">
      <alignment horizontal="left" vertical="center" wrapText="1"/>
    </xf>
    <xf numFmtId="49" fontId="2" fillId="0" borderId="11" xfId="0" applyNumberFormat="1" applyFont="1" applyBorder="1" applyAlignment="1" applyProtection="1">
      <alignment horizontal="left" vertical="center"/>
      <protection locked="0"/>
    </xf>
    <xf numFmtId="49" fontId="2" fillId="0" borderId="10" xfId="0" applyNumberFormat="1" applyFont="1" applyBorder="1" applyAlignment="1" applyProtection="1">
      <alignment horizontal="left" vertical="center"/>
      <protection locked="0"/>
    </xf>
    <xf numFmtId="0" fontId="8" fillId="0" borderId="4" xfId="0" applyFont="1" applyBorder="1" applyAlignment="1" applyProtection="1">
      <alignment horizontal="center" vertical="center" wrapText="1"/>
      <protection locked="0"/>
    </xf>
    <xf numFmtId="0" fontId="8" fillId="0" borderId="9" xfId="0" applyFont="1" applyBorder="1" applyAlignment="1" applyProtection="1">
      <alignment horizontal="center" vertical="center" wrapText="1"/>
      <protection locked="0"/>
    </xf>
    <xf numFmtId="0" fontId="8" fillId="0" borderId="29" xfId="0" applyFont="1" applyBorder="1" applyAlignment="1" applyProtection="1">
      <alignment horizontal="center" vertical="center" wrapText="1"/>
      <protection locked="0"/>
    </xf>
    <xf numFmtId="0" fontId="7" fillId="0" borderId="13" xfId="0" applyFont="1" applyBorder="1" applyAlignment="1">
      <alignment vertical="center" wrapText="1"/>
    </xf>
    <xf numFmtId="0" fontId="7" fillId="0" borderId="84" xfId="0" applyFont="1" applyBorder="1" applyAlignment="1">
      <alignment vertical="center" wrapText="1"/>
    </xf>
    <xf numFmtId="0" fontId="7" fillId="0" borderId="9" xfId="0" applyFont="1" applyBorder="1" applyAlignment="1">
      <alignment horizontal="left" vertical="center" wrapText="1"/>
    </xf>
    <xf numFmtId="0" fontId="7" fillId="0" borderId="4" xfId="0" applyFont="1" applyBorder="1" applyAlignment="1" applyProtection="1">
      <alignment horizontal="left" vertical="center" wrapText="1"/>
      <protection locked="0"/>
    </xf>
    <xf numFmtId="0" fontId="7" fillId="0" borderId="23" xfId="0" applyFont="1" applyBorder="1" applyAlignment="1" applyProtection="1">
      <alignment horizontal="left" vertical="center" wrapText="1"/>
      <protection locked="0"/>
    </xf>
    <xf numFmtId="0" fontId="1" fillId="0" borderId="2" xfId="0" applyFont="1" applyBorder="1" applyAlignment="1">
      <alignment horizontal="left" vertical="center" wrapText="1"/>
    </xf>
    <xf numFmtId="0" fontId="1" fillId="0" borderId="1" xfId="0" applyFont="1" applyBorder="1" applyAlignment="1">
      <alignment horizontal="left" vertical="center" wrapText="1"/>
    </xf>
    <xf numFmtId="0" fontId="1" fillId="0" borderId="1" xfId="0" applyFont="1" applyBorder="1" applyAlignment="1" applyProtection="1">
      <alignment horizontal="center" vertical="center" wrapText="1"/>
      <protection locked="0"/>
    </xf>
    <xf numFmtId="0" fontId="1" fillId="0" borderId="3" xfId="0" applyFont="1" applyBorder="1" applyAlignment="1" applyProtection="1">
      <alignment horizontal="center" vertical="center" wrapText="1"/>
      <protection locked="0"/>
    </xf>
    <xf numFmtId="0" fontId="57" fillId="0" borderId="3" xfId="0" applyFont="1" applyBorder="1" applyAlignment="1">
      <alignment horizontal="center" vertical="center" wrapText="1"/>
    </xf>
    <xf numFmtId="0" fontId="57" fillId="0" borderId="4" xfId="0" applyFont="1" applyBorder="1" applyAlignment="1">
      <alignment horizontal="center" vertical="center" wrapText="1"/>
    </xf>
    <xf numFmtId="0" fontId="8" fillId="0" borderId="1" xfId="0" applyFont="1" applyBorder="1" applyAlignment="1">
      <alignment vertical="center" wrapText="1"/>
    </xf>
    <xf numFmtId="0" fontId="1" fillId="0" borderId="85" xfId="0" applyFont="1" applyBorder="1" applyAlignment="1">
      <alignment vertical="center" wrapText="1"/>
    </xf>
    <xf numFmtId="0" fontId="1" fillId="0" borderId="12" xfId="0" applyFont="1" applyBorder="1" applyAlignment="1">
      <alignment vertical="center" wrapText="1"/>
    </xf>
    <xf numFmtId="0" fontId="8" fillId="0" borderId="4" xfId="0" applyFont="1" applyBorder="1" applyAlignment="1">
      <alignment horizontal="center" vertical="center" wrapText="1"/>
    </xf>
    <xf numFmtId="49" fontId="2" fillId="0" borderId="102" xfId="0" applyNumberFormat="1" applyFont="1" applyBorder="1" applyAlignment="1" applyProtection="1">
      <alignment vertical="center" wrapText="1"/>
      <protection locked="0"/>
    </xf>
    <xf numFmtId="49" fontId="2" fillId="0" borderId="13" xfId="0" applyNumberFormat="1" applyFont="1" applyBorder="1" applyAlignment="1" applyProtection="1">
      <alignment vertical="center" wrapText="1"/>
      <protection locked="0"/>
    </xf>
    <xf numFmtId="49" fontId="2" fillId="0" borderId="28" xfId="0" applyNumberFormat="1" applyFont="1" applyBorder="1" applyAlignment="1" applyProtection="1">
      <alignment vertical="center" wrapText="1"/>
      <protection locked="0"/>
    </xf>
    <xf numFmtId="0" fontId="44" fillId="0" borderId="126" xfId="0" applyFont="1" applyBorder="1" applyAlignment="1">
      <alignment horizontal="center" vertical="center"/>
    </xf>
    <xf numFmtId="0" fontId="44" fillId="0" borderId="130" xfId="0" applyFont="1" applyBorder="1" applyAlignment="1">
      <alignment horizontal="center" vertical="center"/>
    </xf>
    <xf numFmtId="0" fontId="1" fillId="0" borderId="31" xfId="0" applyFont="1" applyBorder="1" applyAlignment="1">
      <alignment horizontal="center" vertical="center"/>
    </xf>
    <xf numFmtId="0" fontId="1" fillId="0" borderId="58" xfId="0" applyFont="1" applyBorder="1" applyAlignment="1">
      <alignment horizontal="center" vertical="center"/>
    </xf>
    <xf numFmtId="0" fontId="1" fillId="0" borderId="59" xfId="0" applyFont="1" applyBorder="1" applyAlignment="1">
      <alignment horizontal="center" vertical="center"/>
    </xf>
    <xf numFmtId="0" fontId="35" fillId="9" borderId="123" xfId="0" applyFont="1" applyFill="1" applyBorder="1" applyAlignment="1">
      <alignment horizontal="center" vertical="center" wrapText="1"/>
    </xf>
    <xf numFmtId="0" fontId="35" fillId="9" borderId="63" xfId="0" applyFont="1" applyFill="1" applyBorder="1" applyAlignment="1">
      <alignment horizontal="center" vertical="center" wrapText="1"/>
    </xf>
    <xf numFmtId="0" fontId="35" fillId="9" borderId="124" xfId="0" applyFont="1" applyFill="1" applyBorder="1" applyAlignment="1">
      <alignment horizontal="center" vertical="center" wrapText="1"/>
    </xf>
    <xf numFmtId="0" fontId="7" fillId="0" borderId="4" xfId="0" applyFont="1" applyBorder="1" applyAlignment="1">
      <alignment vertical="center" wrapText="1" shrinkToFit="1"/>
    </xf>
    <xf numFmtId="0" fontId="7" fillId="0" borderId="2" xfId="0" applyFont="1" applyBorder="1" applyAlignment="1">
      <alignment vertical="center" wrapText="1" shrinkToFit="1"/>
    </xf>
    <xf numFmtId="0" fontId="7" fillId="0" borderId="5" xfId="0" applyFont="1" applyBorder="1" applyAlignment="1">
      <alignment vertical="center"/>
    </xf>
    <xf numFmtId="0" fontId="7" fillId="0" borderId="8" xfId="0" applyFont="1" applyBorder="1" applyAlignment="1">
      <alignment vertical="center"/>
    </xf>
    <xf numFmtId="0" fontId="57" fillId="0" borderId="5" xfId="0" applyFont="1" applyBorder="1" applyAlignment="1">
      <alignment horizontal="left" vertical="center" wrapText="1"/>
    </xf>
    <xf numFmtId="0" fontId="57" fillId="0" borderId="8" xfId="0" applyFont="1" applyBorder="1" applyAlignment="1">
      <alignment horizontal="left" vertical="center" wrapText="1"/>
    </xf>
    <xf numFmtId="0" fontId="53" fillId="9" borderId="45" xfId="0" applyFont="1" applyFill="1" applyBorder="1" applyAlignment="1">
      <alignment horizontal="left" vertical="center" wrapText="1"/>
    </xf>
    <xf numFmtId="0" fontId="53" fillId="9" borderId="54" xfId="0" applyFont="1" applyFill="1" applyBorder="1" applyAlignment="1">
      <alignment horizontal="left" vertical="center" wrapText="1"/>
    </xf>
    <xf numFmtId="0" fontId="58" fillId="0" borderId="12" xfId="0" applyFont="1" applyBorder="1" applyAlignment="1">
      <alignment horizontal="center" vertical="center" wrapText="1"/>
    </xf>
    <xf numFmtId="0" fontId="52" fillId="4" borderId="0" xfId="0" applyFont="1" applyFill="1" applyAlignment="1">
      <alignment horizontal="left"/>
    </xf>
    <xf numFmtId="0" fontId="63" fillId="0" borderId="0" xfId="0" applyFont="1" applyAlignment="1">
      <alignment horizontal="left" vertical="top" wrapText="1"/>
    </xf>
    <xf numFmtId="0" fontId="63" fillId="4" borderId="0" xfId="0" applyFont="1" applyFill="1" applyAlignment="1">
      <alignment horizontal="left"/>
    </xf>
    <xf numFmtId="0" fontId="0" fillId="0" borderId="0" xfId="0" applyAlignment="1">
      <alignment horizontal="left" vertical="top" wrapText="1"/>
    </xf>
    <xf numFmtId="0" fontId="6" fillId="0" borderId="0" xfId="0" applyFont="1" applyAlignment="1">
      <alignment horizontal="right" vertical="top" wrapText="1"/>
    </xf>
    <xf numFmtId="0" fontId="2" fillId="0" borderId="81" xfId="0" applyFont="1" applyBorder="1" applyAlignment="1" applyProtection="1">
      <alignment horizontal="left" vertical="center" wrapText="1"/>
      <protection locked="0"/>
    </xf>
    <xf numFmtId="0" fontId="2" fillId="0" borderId="82" xfId="0" applyFont="1" applyBorder="1" applyAlignment="1" applyProtection="1">
      <alignment horizontal="left" vertical="center" wrapText="1"/>
      <protection locked="0"/>
    </xf>
    <xf numFmtId="0" fontId="7" fillId="0" borderId="123" xfId="0" applyFont="1" applyBorder="1" applyAlignment="1">
      <alignment horizontal="left" vertical="center" wrapText="1"/>
    </xf>
    <xf numFmtId="0" fontId="7" fillId="0" borderId="63" xfId="0" applyFont="1" applyBorder="1" applyAlignment="1">
      <alignment horizontal="left" vertical="center" wrapText="1"/>
    </xf>
    <xf numFmtId="0" fontId="7" fillId="0" borderId="146" xfId="0" applyFont="1" applyBorder="1" applyAlignment="1">
      <alignment horizontal="left" vertical="center" wrapText="1"/>
    </xf>
    <xf numFmtId="0" fontId="7" fillId="0" borderId="10" xfId="0" applyFont="1" applyBorder="1" applyAlignment="1">
      <alignment vertical="center"/>
    </xf>
    <xf numFmtId="49" fontId="2" fillId="0" borderId="11" xfId="0" applyNumberFormat="1" applyFont="1" applyBorder="1" applyAlignment="1" applyProtection="1">
      <alignment vertical="center"/>
      <protection locked="0"/>
    </xf>
    <xf numFmtId="0" fontId="59" fillId="17" borderId="52" xfId="0" applyFont="1" applyFill="1" applyBorder="1" applyAlignment="1">
      <alignment horizontal="center" vertical="center" wrapText="1" shrinkToFit="1"/>
    </xf>
    <xf numFmtId="0" fontId="43" fillId="0" borderId="148" xfId="0" applyFont="1" applyBorder="1" applyAlignment="1">
      <alignment horizontal="left" vertical="center" wrapText="1"/>
    </xf>
    <xf numFmtId="0" fontId="43" fillId="0" borderId="99" xfId="0" applyFont="1" applyBorder="1" applyAlignment="1">
      <alignment horizontal="left" vertical="center" wrapText="1"/>
    </xf>
    <xf numFmtId="0" fontId="13" fillId="0" borderId="137" xfId="0" applyFont="1" applyBorder="1" applyAlignment="1">
      <alignment horizontal="right" vertical="center"/>
    </xf>
    <xf numFmtId="0" fontId="13" fillId="0" borderId="98" xfId="0" applyFont="1" applyBorder="1" applyAlignment="1">
      <alignment horizontal="right" vertical="center"/>
    </xf>
    <xf numFmtId="49" fontId="2" fillId="0" borderId="143" xfId="0" applyNumberFormat="1" applyFont="1" applyBorder="1" applyAlignment="1" applyProtection="1">
      <alignment horizontal="center" vertical="center"/>
      <protection locked="0"/>
    </xf>
    <xf numFmtId="49" fontId="2" fillId="0" borderId="0" xfId="0" applyNumberFormat="1" applyFont="1" applyAlignment="1" applyProtection="1">
      <alignment horizontal="center" vertical="center"/>
      <protection locked="0"/>
    </xf>
    <xf numFmtId="0" fontId="0" fillId="0" borderId="9" xfId="0" applyBorder="1" applyAlignment="1" applyProtection="1">
      <alignment horizontal="center" vertical="center" wrapText="1"/>
      <protection locked="0"/>
    </xf>
    <xf numFmtId="0" fontId="0" fillId="0" borderId="6" xfId="0" applyBorder="1" applyAlignment="1" applyProtection="1">
      <alignment horizontal="center" vertical="center" wrapText="1"/>
      <protection locked="0"/>
    </xf>
    <xf numFmtId="0" fontId="2" fillId="0" borderId="110" xfId="0" applyFont="1" applyBorder="1" applyAlignment="1">
      <alignment horizontal="center" vertical="center"/>
    </xf>
    <xf numFmtId="0" fontId="2" fillId="0" borderId="9" xfId="0" applyFont="1" applyBorder="1" applyAlignment="1">
      <alignment horizontal="center" vertical="center"/>
    </xf>
    <xf numFmtId="0" fontId="2" fillId="0" borderId="62" xfId="0" applyFont="1" applyBorder="1" applyAlignment="1" applyProtection="1">
      <alignment horizontal="center" vertical="center"/>
      <protection locked="0"/>
    </xf>
    <xf numFmtId="0" fontId="2" fillId="0" borderId="64" xfId="0" applyFont="1" applyBorder="1" applyAlignment="1" applyProtection="1">
      <alignment horizontal="center" vertical="center"/>
      <protection locked="0"/>
    </xf>
    <xf numFmtId="0" fontId="7" fillId="0" borderId="4" xfId="0" applyFont="1" applyBorder="1" applyAlignment="1">
      <alignment horizontal="center" vertical="top" wrapText="1"/>
    </xf>
    <xf numFmtId="0" fontId="7" fillId="0" borderId="0" xfId="0" applyFont="1" applyAlignment="1">
      <alignment horizontal="left" vertical="top" wrapText="1"/>
    </xf>
    <xf numFmtId="0" fontId="7" fillId="0" borderId="135" xfId="0" applyFont="1" applyBorder="1" applyAlignment="1">
      <alignment horizontal="left" vertical="top" wrapText="1"/>
    </xf>
    <xf numFmtId="0" fontId="7" fillId="0" borderId="10" xfId="0" applyFont="1" applyBorder="1" applyAlignment="1">
      <alignment horizontal="left" vertical="top" wrapText="1"/>
    </xf>
    <xf numFmtId="0" fontId="7" fillId="0" borderId="5" xfId="0" applyFont="1" applyBorder="1" applyAlignment="1">
      <alignment horizontal="left" vertical="top" wrapText="1"/>
    </xf>
    <xf numFmtId="0" fontId="2" fillId="0" borderId="1" xfId="0" applyFont="1" applyBorder="1" applyAlignment="1" applyProtection="1">
      <alignment horizontal="left" vertical="center" wrapText="1"/>
      <protection locked="0"/>
    </xf>
    <xf numFmtId="0" fontId="2" fillId="0" borderId="110" xfId="0" applyFont="1" applyBorder="1" applyAlignment="1" applyProtection="1">
      <alignment horizontal="center" vertical="center"/>
      <protection locked="0"/>
    </xf>
    <xf numFmtId="0" fontId="2" fillId="0" borderId="6" xfId="0" applyFont="1" applyBorder="1" applyAlignment="1" applyProtection="1">
      <alignment horizontal="center" vertical="center"/>
      <protection locked="0"/>
    </xf>
    <xf numFmtId="49" fontId="2" fillId="0" borderId="110" xfId="0" applyNumberFormat="1" applyFont="1" applyBorder="1" applyAlignment="1" applyProtection="1">
      <alignment vertical="center"/>
      <protection locked="0"/>
    </xf>
    <xf numFmtId="49" fontId="2" fillId="0" borderId="29" xfId="0" applyNumberFormat="1" applyFont="1" applyBorder="1" applyAlignment="1" applyProtection="1">
      <alignment vertical="center"/>
      <protection locked="0"/>
    </xf>
    <xf numFmtId="0" fontId="2" fillId="0" borderId="101" xfId="0" applyFont="1" applyBorder="1" applyAlignment="1" applyProtection="1">
      <alignment horizontal="left" vertical="center" wrapText="1"/>
      <protection locked="0"/>
    </xf>
    <xf numFmtId="0" fontId="2" fillId="0" borderId="99" xfId="0" applyFont="1" applyBorder="1" applyAlignment="1" applyProtection="1">
      <alignment horizontal="left" vertical="center" wrapText="1"/>
      <protection locked="0"/>
    </xf>
    <xf numFmtId="0" fontId="2" fillId="0" borderId="100" xfId="0" applyFont="1" applyBorder="1" applyAlignment="1" applyProtection="1">
      <alignment horizontal="left" vertical="center" wrapText="1"/>
      <protection locked="0"/>
    </xf>
    <xf numFmtId="9" fontId="2" fillId="0" borderId="150" xfId="0" applyNumberFormat="1" applyFont="1" applyBorder="1" applyAlignment="1">
      <alignment horizontal="center" vertical="center"/>
    </xf>
    <xf numFmtId="9" fontId="2" fillId="0" borderId="151" xfId="0" applyNumberFormat="1" applyFont="1" applyBorder="1" applyAlignment="1">
      <alignment horizontal="center" vertical="center"/>
    </xf>
    <xf numFmtId="0" fontId="7" fillId="0" borderId="3" xfId="0" applyFont="1" applyBorder="1" applyAlignment="1">
      <alignment horizontal="right" vertical="center" wrapText="1"/>
    </xf>
    <xf numFmtId="0" fontId="7" fillId="0" borderId="4" xfId="0" applyFont="1" applyBorder="1" applyAlignment="1">
      <alignment horizontal="right" vertical="center" wrapText="1"/>
    </xf>
    <xf numFmtId="0" fontId="7" fillId="0" borderId="98" xfId="0" applyFont="1" applyBorder="1" applyAlignment="1">
      <alignment horizontal="right" vertical="center" wrapText="1"/>
    </xf>
    <xf numFmtId="0" fontId="2" fillId="0" borderId="103" xfId="0" applyFont="1" applyBorder="1" applyAlignment="1" applyProtection="1">
      <alignment horizontal="left" vertical="center" wrapText="1"/>
      <protection locked="0"/>
    </xf>
    <xf numFmtId="0" fontId="2" fillId="0" borderId="110" xfId="0" applyFont="1" applyBorder="1" applyAlignment="1" applyProtection="1">
      <alignment horizontal="left" vertical="center" wrapText="1"/>
      <protection locked="0"/>
    </xf>
    <xf numFmtId="0" fontId="2" fillId="0" borderId="9" xfId="0" applyFont="1" applyBorder="1" applyAlignment="1" applyProtection="1">
      <alignment horizontal="left" vertical="center" wrapText="1"/>
      <protection locked="0"/>
    </xf>
    <xf numFmtId="0" fontId="2" fillId="0" borderId="29" xfId="0" applyFont="1" applyBorder="1" applyAlignment="1" applyProtection="1">
      <alignment horizontal="left" vertical="center" wrapText="1"/>
      <protection locked="0"/>
    </xf>
    <xf numFmtId="49" fontId="2" fillId="0" borderId="110" xfId="0" applyNumberFormat="1" applyFont="1" applyBorder="1" applyAlignment="1" applyProtection="1">
      <alignment horizontal="left" vertical="center" wrapText="1"/>
      <protection locked="0"/>
    </xf>
    <xf numFmtId="49" fontId="2" fillId="0" borderId="9" xfId="0" applyNumberFormat="1" applyFont="1" applyBorder="1" applyAlignment="1" applyProtection="1">
      <alignment horizontal="left" vertical="center" wrapText="1"/>
      <protection locked="0"/>
    </xf>
    <xf numFmtId="49" fontId="2" fillId="0" borderId="29" xfId="0" applyNumberFormat="1" applyFont="1" applyBorder="1" applyAlignment="1" applyProtection="1">
      <alignment horizontal="left" vertical="center" wrapText="1"/>
      <protection locked="0"/>
    </xf>
    <xf numFmtId="0" fontId="7" fillId="0" borderId="99" xfId="0" applyFont="1" applyBorder="1" applyAlignment="1">
      <alignment vertical="center"/>
    </xf>
    <xf numFmtId="0" fontId="7" fillId="0" borderId="139" xfId="0" applyFont="1" applyBorder="1" applyAlignment="1">
      <alignment vertical="center"/>
    </xf>
    <xf numFmtId="0" fontId="7" fillId="0" borderId="136" xfId="0" applyFont="1" applyBorder="1" applyAlignment="1">
      <alignment horizontal="left" vertical="center" wrapText="1"/>
    </xf>
    <xf numFmtId="0" fontId="7" fillId="0" borderId="0" xfId="0" applyFont="1" applyAlignment="1">
      <alignment horizontal="left" vertical="center" wrapText="1"/>
    </xf>
    <xf numFmtId="0" fontId="7" fillId="0" borderId="9" xfId="0" applyFont="1" applyBorder="1" applyAlignment="1">
      <alignment horizontal="left" vertical="top" wrapText="1"/>
    </xf>
    <xf numFmtId="0" fontId="7" fillId="0" borderId="6" xfId="0" applyFont="1" applyBorder="1" applyAlignment="1">
      <alignment horizontal="left" vertical="top" wrapText="1"/>
    </xf>
    <xf numFmtId="0" fontId="7" fillId="0" borderId="57" xfId="0" applyFont="1" applyBorder="1" applyAlignment="1">
      <alignment horizontal="left" vertical="top" wrapText="1"/>
    </xf>
    <xf numFmtId="0" fontId="7" fillId="0" borderId="141" xfId="0" applyFont="1" applyBorder="1" applyAlignment="1">
      <alignment horizontal="left" vertical="top" wrapText="1"/>
    </xf>
    <xf numFmtId="0" fontId="54" fillId="14" borderId="58" xfId="0" applyFont="1" applyFill="1" applyBorder="1" applyAlignment="1">
      <alignment horizontal="center" vertical="center" wrapText="1"/>
    </xf>
    <xf numFmtId="0" fontId="11" fillId="14" borderId="155" xfId="1" applyFill="1" applyBorder="1" applyAlignment="1">
      <alignment horizontal="center" vertical="center"/>
    </xf>
    <xf numFmtId="0" fontId="55" fillId="14" borderId="157" xfId="0" applyFont="1" applyFill="1" applyBorder="1" applyAlignment="1">
      <alignment horizontal="center" vertical="center" wrapText="1"/>
    </xf>
    <xf numFmtId="0" fontId="0" fillId="0" borderId="10" xfId="0" applyBorder="1" applyAlignment="1" applyProtection="1">
      <alignment horizontal="left" vertical="center" wrapText="1"/>
      <protection locked="0"/>
    </xf>
    <xf numFmtId="0" fontId="28" fillId="0" borderId="31" xfId="0" applyFont="1" applyBorder="1" applyAlignment="1">
      <alignment horizontal="left" vertical="center" wrapText="1"/>
    </xf>
    <xf numFmtId="0" fontId="28" fillId="0" borderId="58" xfId="0" applyFont="1" applyBorder="1" applyAlignment="1">
      <alignment horizontal="left" vertical="center" wrapText="1"/>
    </xf>
    <xf numFmtId="0" fontId="28" fillId="0" borderId="59" xfId="0" applyFont="1" applyBorder="1" applyAlignment="1">
      <alignment horizontal="left" vertical="center" wrapText="1"/>
    </xf>
    <xf numFmtId="0" fontId="29" fillId="0" borderId="34" xfId="0" applyFont="1" applyBorder="1" applyAlignment="1">
      <alignment vertical="center"/>
    </xf>
    <xf numFmtId="0" fontId="29" fillId="0" borderId="35" xfId="0" applyFont="1" applyBorder="1" applyAlignment="1">
      <alignment vertical="center"/>
    </xf>
    <xf numFmtId="0" fontId="28" fillId="0" borderId="36" xfId="0" applyFont="1" applyBorder="1" applyAlignment="1">
      <alignment horizontal="left" vertical="center" wrapText="1"/>
    </xf>
    <xf numFmtId="0" fontId="28" fillId="0" borderId="37" xfId="0" applyFont="1" applyBorder="1" applyAlignment="1">
      <alignment horizontal="left" vertical="center" wrapText="1"/>
    </xf>
    <xf numFmtId="0" fontId="28" fillId="0" borderId="38" xfId="0" applyFont="1" applyBorder="1" applyAlignment="1">
      <alignment horizontal="left" vertical="center" wrapText="1"/>
    </xf>
    <xf numFmtId="0" fontId="28" fillId="0" borderId="39" xfId="0" applyFont="1" applyBorder="1" applyAlignment="1">
      <alignment horizontal="center" vertical="center" wrapText="1"/>
    </xf>
    <xf numFmtId="0" fontId="28" fillId="0" borderId="40" xfId="0" applyFont="1" applyBorder="1" applyAlignment="1">
      <alignment horizontal="center" vertical="center" wrapText="1"/>
    </xf>
    <xf numFmtId="0" fontId="28" fillId="0" borderId="41" xfId="0" applyFont="1" applyBorder="1" applyAlignment="1">
      <alignment horizontal="center" vertical="center" wrapText="1"/>
    </xf>
    <xf numFmtId="0" fontId="29" fillId="0" borderId="43" xfId="0" applyFont="1" applyBorder="1" applyAlignment="1">
      <alignment vertical="center"/>
    </xf>
    <xf numFmtId="0" fontId="29" fillId="0" borderId="44" xfId="0" applyFont="1" applyBorder="1" applyAlignment="1">
      <alignment vertical="center"/>
    </xf>
    <xf numFmtId="0" fontId="29" fillId="0" borderId="46" xfId="0" applyFont="1" applyBorder="1" applyAlignment="1">
      <alignment vertical="center"/>
    </xf>
    <xf numFmtId="0" fontId="29" fillId="8" borderId="43" xfId="0" applyFont="1" applyFill="1" applyBorder="1" applyAlignment="1">
      <alignment vertical="center" wrapText="1"/>
    </xf>
    <xf numFmtId="0" fontId="29" fillId="8" borderId="44" xfId="0" applyFont="1" applyFill="1" applyBorder="1" applyAlignment="1">
      <alignment vertical="center" wrapText="1"/>
    </xf>
    <xf numFmtId="0" fontId="29" fillId="8" borderId="46" xfId="0" applyFont="1" applyFill="1" applyBorder="1" applyAlignment="1">
      <alignment vertical="center" wrapText="1"/>
    </xf>
    <xf numFmtId="0" fontId="29" fillId="8" borderId="48" xfId="0" applyFont="1" applyFill="1" applyBorder="1" applyAlignment="1">
      <alignment vertical="center" wrapText="1"/>
    </xf>
    <xf numFmtId="0" fontId="29" fillId="8" borderId="32" xfId="0" applyFont="1" applyFill="1" applyBorder="1" applyAlignment="1">
      <alignment vertical="center" wrapText="1"/>
    </xf>
    <xf numFmtId="0" fontId="29" fillId="8" borderId="49" xfId="0" applyFont="1" applyFill="1" applyBorder="1" applyAlignment="1">
      <alignment vertical="center" wrapText="1"/>
    </xf>
    <xf numFmtId="0" fontId="29" fillId="8" borderId="50" xfId="0" applyFont="1" applyFill="1" applyBorder="1" applyAlignment="1">
      <alignment vertical="center" wrapText="1"/>
    </xf>
    <xf numFmtId="0" fontId="29" fillId="8" borderId="48" xfId="0" applyFont="1" applyFill="1" applyBorder="1" applyAlignment="1">
      <alignment vertical="top" wrapText="1"/>
    </xf>
    <xf numFmtId="0" fontId="29" fillId="8" borderId="32" xfId="0" applyFont="1" applyFill="1" applyBorder="1" applyAlignment="1">
      <alignment vertical="top" wrapText="1"/>
    </xf>
    <xf numFmtId="0" fontId="29" fillId="8" borderId="52" xfId="0" applyFont="1" applyFill="1" applyBorder="1" applyAlignment="1">
      <alignment horizontal="center" vertical="top" wrapText="1"/>
    </xf>
    <xf numFmtId="0" fontId="29" fillId="8" borderId="53" xfId="0" applyFont="1" applyFill="1" applyBorder="1" applyAlignment="1">
      <alignment horizontal="center" vertical="top" wrapText="1"/>
    </xf>
    <xf numFmtId="0" fontId="29" fillId="8" borderId="52" xfId="0" applyFont="1" applyFill="1" applyBorder="1" applyAlignment="1">
      <alignment horizontal="center" vertical="center" wrapText="1"/>
    </xf>
    <xf numFmtId="0" fontId="29" fillId="8" borderId="48" xfId="0" applyFont="1" applyFill="1" applyBorder="1" applyAlignment="1">
      <alignment horizontal="center" vertical="center" wrapText="1"/>
    </xf>
    <xf numFmtId="0" fontId="0" fillId="0" borderId="52" xfId="0" applyBorder="1" applyAlignment="1">
      <alignment horizontal="center" vertical="top" wrapText="1"/>
    </xf>
    <xf numFmtId="0" fontId="0" fillId="0" borderId="48" xfId="0" applyBorder="1" applyAlignment="1">
      <alignment horizontal="center" wrapText="1"/>
    </xf>
    <xf numFmtId="0" fontId="0" fillId="0" borderId="32" xfId="0" applyBorder="1" applyAlignment="1">
      <alignment horizontal="center" wrapText="1"/>
    </xf>
    <xf numFmtId="0" fontId="0" fillId="0" borderId="50" xfId="0" applyBorder="1" applyAlignment="1">
      <alignment horizontal="center" wrapText="1"/>
    </xf>
    <xf numFmtId="0" fontId="0" fillId="0" borderId="54" xfId="0" applyBorder="1" applyAlignment="1">
      <alignment horizontal="center" wrapText="1"/>
    </xf>
    <xf numFmtId="0" fontId="0" fillId="0" borderId="55" xfId="0" applyBorder="1" applyAlignment="1">
      <alignment horizontal="center" wrapText="1"/>
    </xf>
    <xf numFmtId="0" fontId="0" fillId="0" borderId="54" xfId="0" applyBorder="1" applyAlignment="1">
      <alignment horizontal="center"/>
    </xf>
    <xf numFmtId="0" fontId="0" fillId="0" borderId="55" xfId="0" applyBorder="1" applyAlignment="1">
      <alignment horizontal="center"/>
    </xf>
    <xf numFmtId="0" fontId="0" fillId="0" borderId="56" xfId="0" applyBorder="1" applyAlignment="1">
      <alignment horizontal="center"/>
    </xf>
    <xf numFmtId="0" fontId="29" fillId="0" borderId="52" xfId="0" applyFont="1" applyBorder="1" applyAlignment="1">
      <alignment horizontal="center" vertical="top" wrapText="1"/>
    </xf>
    <xf numFmtId="0" fontId="29" fillId="0" borderId="53" xfId="0" applyFont="1" applyBorder="1" applyAlignment="1">
      <alignment horizontal="center" vertical="top" wrapText="1"/>
    </xf>
    <xf numFmtId="0" fontId="29" fillId="0" borderId="52" xfId="0" applyFont="1" applyBorder="1" applyAlignment="1">
      <alignment horizontal="center" vertical="center"/>
    </xf>
    <xf numFmtId="0" fontId="29" fillId="0" borderId="48" xfId="0" applyFont="1" applyBorder="1" applyAlignment="1">
      <alignment horizontal="center" vertical="center"/>
    </xf>
    <xf numFmtId="0" fontId="0" fillId="0" borderId="52" xfId="0" applyBorder="1" applyAlignment="1">
      <alignment horizontal="center" vertical="top"/>
    </xf>
    <xf numFmtId="0" fontId="0" fillId="0" borderId="48" xfId="0" applyBorder="1" applyAlignment="1">
      <alignment horizontal="center"/>
    </xf>
    <xf numFmtId="0" fontId="0" fillId="0" borderId="32" xfId="0" applyBorder="1" applyAlignment="1">
      <alignment horizontal="center"/>
    </xf>
    <xf numFmtId="0" fontId="0" fillId="0" borderId="50" xfId="0" applyBorder="1" applyAlignment="1">
      <alignment horizontal="center"/>
    </xf>
    <xf numFmtId="0" fontId="50" fillId="0" borderId="36" xfId="0" applyFont="1" applyBorder="1" applyAlignment="1">
      <alignment horizontal="center" vertical="center" wrapText="1"/>
    </xf>
    <xf numFmtId="0" fontId="50" fillId="0" borderId="37" xfId="0" applyFont="1" applyBorder="1" applyAlignment="1">
      <alignment horizontal="center" vertical="center" wrapText="1"/>
    </xf>
    <xf numFmtId="0" fontId="50" fillId="0" borderId="38" xfId="0" applyFont="1" applyBorder="1" applyAlignment="1">
      <alignment horizontal="center" vertical="center" wrapText="1"/>
    </xf>
    <xf numFmtId="0" fontId="32" fillId="4" borderId="65" xfId="0" applyFont="1" applyFill="1" applyBorder="1" applyAlignment="1">
      <alignment horizontal="left" vertical="top" wrapText="1"/>
    </xf>
    <xf numFmtId="0" fontId="32" fillId="4" borderId="57" xfId="0" applyFont="1" applyFill="1" applyBorder="1" applyAlignment="1">
      <alignment horizontal="left" vertical="top" wrapText="1"/>
    </xf>
    <xf numFmtId="0" fontId="32" fillId="4" borderId="43" xfId="0" applyFont="1" applyFill="1" applyBorder="1" applyAlignment="1">
      <alignment horizontal="left" vertical="top" wrapText="1"/>
    </xf>
    <xf numFmtId="0" fontId="32" fillId="4" borderId="62" xfId="0" applyFont="1" applyFill="1" applyBorder="1" applyAlignment="1">
      <alignment horizontal="left" vertical="top" wrapText="1"/>
    </xf>
    <xf numFmtId="0" fontId="32" fillId="4" borderId="63" xfId="0" applyFont="1" applyFill="1" applyBorder="1" applyAlignment="1">
      <alignment horizontal="left" vertical="top" wrapText="1"/>
    </xf>
    <xf numFmtId="0" fontId="32" fillId="4" borderId="64" xfId="0" applyFont="1" applyFill="1" applyBorder="1" applyAlignment="1">
      <alignment horizontal="left" vertical="top" wrapText="1"/>
    </xf>
    <xf numFmtId="0" fontId="0" fillId="0" borderId="0" xfId="0" applyAlignment="1">
      <alignment horizontal="center"/>
    </xf>
    <xf numFmtId="0" fontId="0" fillId="0" borderId="61" xfId="0" applyBorder="1" applyAlignment="1">
      <alignment horizontal="center"/>
    </xf>
    <xf numFmtId="0" fontId="0" fillId="0" borderId="15" xfId="0" applyBorder="1" applyAlignment="1">
      <alignment horizontal="center"/>
    </xf>
    <xf numFmtId="0" fontId="29" fillId="0" borderId="48" xfId="0" applyFont="1" applyBorder="1" applyAlignment="1">
      <alignment vertical="top"/>
    </xf>
    <xf numFmtId="0" fontId="29" fillId="0" borderId="32" xfId="0" applyFont="1" applyBorder="1" applyAlignment="1">
      <alignment vertical="top"/>
    </xf>
    <xf numFmtId="0" fontId="0" fillId="0" borderId="56" xfId="0" applyBorder="1" applyAlignment="1">
      <alignment horizontal="center" wrapText="1"/>
    </xf>
    <xf numFmtId="0" fontId="29" fillId="0" borderId="48" xfId="0" applyFont="1" applyBorder="1" applyAlignment="1">
      <alignment vertical="center"/>
    </xf>
    <xf numFmtId="0" fontId="29" fillId="0" borderId="32" xfId="0" applyFont="1" applyBorder="1" applyAlignment="1">
      <alignment vertical="center"/>
    </xf>
    <xf numFmtId="0" fontId="29" fillId="0" borderId="49" xfId="0" applyFont="1" applyBorder="1" applyAlignment="1">
      <alignment vertical="center"/>
    </xf>
    <xf numFmtId="0" fontId="29" fillId="0" borderId="50" xfId="0" applyFont="1" applyBorder="1" applyAlignment="1">
      <alignment vertical="center"/>
    </xf>
    <xf numFmtId="0" fontId="22" fillId="0" borderId="0" xfId="4" applyFont="1" applyAlignment="1">
      <alignment vertical="top" wrapText="1"/>
    </xf>
    <xf numFmtId="0" fontId="22" fillId="0" borderId="70" xfId="4" applyFont="1" applyBorder="1" applyAlignment="1">
      <alignment vertical="top" wrapText="1"/>
    </xf>
    <xf numFmtId="0" fontId="38" fillId="0" borderId="70" xfId="0" applyFont="1" applyBorder="1" applyAlignment="1">
      <alignment horizontal="left" vertical="top" wrapText="1"/>
    </xf>
    <xf numFmtId="0" fontId="7" fillId="0" borderId="73" xfId="0" applyFont="1" applyBorder="1" applyAlignment="1">
      <alignment horizontal="left" vertical="top"/>
    </xf>
    <xf numFmtId="0" fontId="22" fillId="0" borderId="67" xfId="4" applyFont="1" applyBorder="1" applyAlignment="1">
      <alignment horizontal="center" wrapText="1"/>
    </xf>
    <xf numFmtId="0" fontId="22" fillId="0" borderId="68" xfId="4" applyFont="1" applyBorder="1" applyAlignment="1">
      <alignment horizontal="center" wrapText="1"/>
    </xf>
    <xf numFmtId="0" fontId="2" fillId="0" borderId="0" xfId="4" applyFont="1" applyAlignment="1">
      <alignment vertical="top" wrapText="1"/>
    </xf>
    <xf numFmtId="0" fontId="2" fillId="0" borderId="70" xfId="4" applyFont="1" applyBorder="1" applyAlignment="1">
      <alignment vertical="top" wrapText="1"/>
    </xf>
    <xf numFmtId="0" fontId="35" fillId="0" borderId="0" xfId="4" applyFont="1" applyAlignment="1">
      <alignment wrapText="1"/>
    </xf>
    <xf numFmtId="0" fontId="35" fillId="0" borderId="70" xfId="4" applyFont="1" applyBorder="1" applyAlignment="1">
      <alignment wrapText="1"/>
    </xf>
    <xf numFmtId="0" fontId="7" fillId="0" borderId="70" xfId="0" applyFont="1" applyBorder="1" applyAlignment="1">
      <alignment horizontal="left" vertical="top"/>
    </xf>
    <xf numFmtId="0" fontId="0" fillId="0" borderId="0" xfId="0" applyAlignment="1">
      <alignment wrapText="1"/>
    </xf>
    <xf numFmtId="0" fontId="0" fillId="0" borderId="70" xfId="0" applyBorder="1" applyAlignment="1">
      <alignment wrapText="1"/>
    </xf>
    <xf numFmtId="0" fontId="35" fillId="0" borderId="0" xfId="4" applyFont="1" applyAlignment="1">
      <alignment horizontal="left" wrapText="1"/>
    </xf>
    <xf numFmtId="0" fontId="35" fillId="0" borderId="70" xfId="4" applyFont="1" applyBorder="1" applyAlignment="1">
      <alignment horizontal="left" wrapText="1"/>
    </xf>
    <xf numFmtId="0" fontId="11" fillId="0" borderId="0" xfId="1" applyAlignment="1"/>
    <xf numFmtId="0" fontId="2" fillId="0" borderId="72" xfId="4" applyFont="1" applyBorder="1" applyAlignment="1">
      <alignment horizontal="center" wrapText="1"/>
    </xf>
    <xf numFmtId="0" fontId="2" fillId="0" borderId="73" xfId="4" applyFont="1" applyBorder="1" applyAlignment="1">
      <alignment horizontal="center" wrapText="1"/>
    </xf>
    <xf numFmtId="0" fontId="2" fillId="0" borderId="67" xfId="4" applyFont="1" applyBorder="1" applyAlignment="1">
      <alignment wrapText="1"/>
    </xf>
    <xf numFmtId="0" fontId="2" fillId="0" borderId="68" xfId="4" applyFont="1" applyBorder="1" applyAlignment="1">
      <alignment wrapText="1"/>
    </xf>
    <xf numFmtId="0" fontId="7" fillId="0" borderId="14" xfId="0" applyFont="1" applyBorder="1" applyAlignment="1">
      <alignment horizontal="center"/>
    </xf>
    <xf numFmtId="0" fontId="7" fillId="0" borderId="0" xfId="0" applyFont="1" applyAlignment="1">
      <alignment horizontal="center"/>
    </xf>
    <xf numFmtId="0" fontId="7" fillId="0" borderId="15" xfId="0" applyFont="1" applyBorder="1" applyAlignment="1">
      <alignment horizontal="center"/>
    </xf>
    <xf numFmtId="0" fontId="6" fillId="0" borderId="0" xfId="0" applyFont="1" applyAlignment="1">
      <alignment horizontal="center"/>
    </xf>
  </cellXfs>
  <cellStyles count="6">
    <cellStyle name="Hyperlink 2" xfId="3" xr:uid="{3577B4BD-4C98-457E-B329-ED2FB8F9BB2E}"/>
    <cellStyle name="Hyperlink 3" xfId="5" xr:uid="{47220113-A764-4BDB-A962-F151DDB80297}"/>
    <cellStyle name="Link" xfId="1" builtinId="8"/>
    <cellStyle name="Normal 2" xfId="2" xr:uid="{7E5BD22B-1225-48F0-A620-5981CB4BC4F4}"/>
    <cellStyle name="Normal 2 2" xfId="4" xr:uid="{AE8C7D47-D33A-4BC7-BDFD-98E41BE9AEDE}"/>
    <cellStyle name="Standard" xfId="0" builtinId="0"/>
  </cellStyles>
  <dxfs count="219">
    <dxf>
      <font>
        <color theme="0" tint="-0.14996795556505021"/>
      </font>
      <fill>
        <patternFill>
          <bgColor theme="0" tint="-0.14996795556505021"/>
        </patternFill>
      </fill>
    </dxf>
    <dxf>
      <font>
        <color rgb="FFDCDCDC"/>
      </font>
      <fill>
        <patternFill>
          <bgColor rgb="FFDCDCDC"/>
        </patternFill>
      </fill>
    </dxf>
    <dxf>
      <font>
        <color rgb="FFDCDCDC"/>
      </font>
      <fill>
        <patternFill>
          <bgColor rgb="FFDCDCD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DCDCDC"/>
      </font>
      <fill>
        <patternFill>
          <bgColor rgb="FFDCDCDC"/>
        </patternFill>
      </fill>
    </dxf>
    <dxf>
      <font>
        <color theme="0" tint="-0.14996795556505021"/>
      </font>
      <fill>
        <patternFill>
          <bgColor theme="0" tint="-0.14996795556505021"/>
        </patternFill>
      </fill>
    </dxf>
    <dxf>
      <font>
        <color theme="0" tint="-0.14996795556505021"/>
      </font>
      <fill>
        <patternFill>
          <bgColor theme="0" tint="-0.14996795556505021"/>
        </patternFill>
      </fill>
      <border>
        <left/>
        <right/>
        <top/>
        <bottom/>
      </border>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DCDCDC"/>
      </font>
      <fill>
        <patternFill>
          <bgColor rgb="FFDCDCDC"/>
        </patternFill>
      </fill>
    </dxf>
    <dxf>
      <font>
        <color rgb="FFDCDCDC"/>
      </font>
      <fill>
        <patternFill>
          <bgColor rgb="FFDCDCDC"/>
        </patternFill>
      </fill>
    </dxf>
    <dxf>
      <font>
        <color rgb="FFDCDCDC"/>
      </font>
      <fill>
        <patternFill>
          <bgColor rgb="FFDCDCDC"/>
        </patternFill>
      </fill>
    </dxf>
    <dxf>
      <font>
        <color rgb="FFDCDCDC"/>
      </font>
      <fill>
        <patternFill>
          <bgColor rgb="FFDCDCDC"/>
        </patternFill>
      </fill>
    </dxf>
    <dxf>
      <font>
        <color rgb="FFDCDCDC"/>
      </font>
      <fill>
        <patternFill>
          <bgColor rgb="FFDCDCDC"/>
        </patternFill>
      </fill>
    </dxf>
    <dxf>
      <font>
        <color rgb="FFDCDCDC"/>
      </font>
      <fill>
        <patternFill>
          <bgColor rgb="FFDCDCDC"/>
        </patternFill>
      </fill>
    </dxf>
    <dxf>
      <font>
        <color rgb="FFDCDCDC"/>
      </font>
      <fill>
        <patternFill>
          <bgColor rgb="FFDCDCDC"/>
        </patternFill>
      </fill>
    </dxf>
    <dxf>
      <font>
        <color rgb="FFDCDCDC"/>
      </font>
      <fill>
        <patternFill>
          <bgColor rgb="FFDCDCDC"/>
        </patternFill>
      </fill>
    </dxf>
    <dxf>
      <font>
        <color rgb="FFDCDCDC"/>
      </font>
      <fill>
        <patternFill>
          <bgColor rgb="FFDCDCDC"/>
        </patternFill>
      </fill>
    </dxf>
    <dxf>
      <font>
        <color rgb="FFDCDCDC"/>
      </font>
      <fill>
        <patternFill>
          <bgColor rgb="FFDCDCDC"/>
        </patternFill>
      </fill>
    </dxf>
    <dxf>
      <font>
        <color rgb="FFDCDCDC"/>
      </font>
      <fill>
        <patternFill>
          <bgColor rgb="FFDCDCDC"/>
        </patternFill>
      </fill>
    </dxf>
    <dxf>
      <font>
        <color rgb="FFDCDCDC"/>
      </font>
      <fill>
        <patternFill>
          <bgColor rgb="FFDCDCD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DCDCDC"/>
      </font>
      <fill>
        <patternFill>
          <bgColor rgb="FFDCDCDC"/>
        </patternFill>
      </fill>
    </dxf>
    <dxf>
      <font>
        <color theme="0" tint="-0.14996795556505021"/>
      </font>
      <fill>
        <patternFill>
          <bgColor theme="0" tint="-0.14996795556505021"/>
        </patternFill>
      </fill>
    </dxf>
    <dxf>
      <font>
        <color rgb="FFDCDCDC"/>
      </font>
      <fill>
        <patternFill>
          <bgColor rgb="FFDCDCDC"/>
        </patternFill>
      </fill>
    </dxf>
    <dxf>
      <font>
        <color theme="0" tint="-0.14996795556505021"/>
      </font>
      <fill>
        <patternFill>
          <bgColor theme="0" tint="-0.14996795556505021"/>
        </patternFill>
      </fill>
    </dxf>
    <dxf>
      <font>
        <color rgb="FFDCDCDC"/>
      </font>
      <fill>
        <patternFill>
          <bgColor rgb="FFDCDCDC"/>
        </patternFill>
      </fill>
    </dxf>
    <dxf>
      <font>
        <color rgb="FFDCDCDC"/>
      </font>
      <fill>
        <patternFill>
          <bgColor rgb="FFDCDCDC"/>
        </patternFill>
      </fill>
    </dxf>
    <dxf>
      <font>
        <color rgb="FFDCDCDC"/>
      </font>
      <fill>
        <patternFill>
          <bgColor rgb="FFDCDCDC"/>
        </patternFill>
      </fill>
    </dxf>
    <dxf>
      <font>
        <color rgb="FFDCDCDC"/>
      </font>
      <fill>
        <patternFill>
          <bgColor rgb="FFDCDCDC"/>
        </patternFill>
      </fill>
    </dxf>
    <dxf>
      <font>
        <color rgb="FFDCDCDC"/>
      </font>
      <fill>
        <patternFill>
          <bgColor rgb="FFDCDCDC"/>
        </patternFill>
      </fill>
    </dxf>
    <dxf>
      <font>
        <color rgb="FFDCDCDC"/>
      </font>
      <fill>
        <patternFill>
          <bgColor rgb="FFDCDCDC"/>
        </patternFill>
      </fill>
    </dxf>
    <dxf>
      <font>
        <color rgb="FFDCDCDC"/>
      </font>
      <fill>
        <patternFill>
          <bgColor rgb="FFDCDCDC"/>
        </patternFill>
      </fill>
    </dxf>
    <dxf>
      <font>
        <color theme="0" tint="-0.14996795556505021"/>
      </font>
      <fill>
        <patternFill>
          <bgColor theme="0" tint="-0.14996795556505021"/>
        </patternFill>
      </fill>
    </dxf>
    <dxf>
      <font>
        <color theme="0" tint="-0.14996795556505021"/>
      </font>
      <fill>
        <patternFill>
          <bgColor theme="0" tint="-0.14996795556505021"/>
        </patternFill>
      </fill>
      <border>
        <left/>
        <right/>
        <top/>
        <bottom/>
      </border>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DCDCDC"/>
      </font>
      <fill>
        <patternFill>
          <bgColor rgb="FFDCDCDC"/>
        </patternFill>
      </fill>
    </dxf>
    <dxf>
      <font>
        <color rgb="FFDCDCDC"/>
      </font>
      <fill>
        <patternFill>
          <bgColor rgb="FFDCDCDC"/>
        </patternFill>
      </fill>
    </dxf>
    <dxf>
      <font>
        <color rgb="FFDCDCDC"/>
      </font>
      <fill>
        <patternFill>
          <bgColor rgb="FFDCDCDC"/>
        </patternFill>
      </fill>
    </dxf>
    <dxf>
      <font>
        <color rgb="FFDCDCDC"/>
      </font>
      <fill>
        <patternFill>
          <bgColor rgb="FFDCDCDC"/>
        </patternFill>
      </fill>
    </dxf>
    <dxf>
      <font>
        <color rgb="FFDCDCDC"/>
      </font>
      <fill>
        <patternFill>
          <bgColor rgb="FFDCDCDC"/>
        </patternFill>
      </fill>
    </dxf>
    <dxf>
      <font>
        <color rgb="FFDCDCDC"/>
      </font>
      <fill>
        <patternFill>
          <bgColor rgb="FFDCDCDC"/>
        </patternFill>
      </fill>
    </dxf>
    <dxf>
      <font>
        <color rgb="FFDCDCDC"/>
      </font>
      <fill>
        <patternFill>
          <bgColor rgb="FFDCDCDC"/>
        </patternFill>
      </fill>
    </dxf>
    <dxf>
      <font>
        <color rgb="FFDCDCDC"/>
      </font>
      <fill>
        <patternFill>
          <bgColor rgb="FFDCDCDC"/>
        </patternFill>
      </fill>
    </dxf>
    <dxf>
      <font>
        <color rgb="FFDCDCDC"/>
      </font>
      <fill>
        <patternFill>
          <bgColor rgb="FFDCDCDC"/>
        </patternFill>
      </fill>
    </dxf>
    <dxf>
      <font>
        <color rgb="FFDCDCDC"/>
      </font>
      <fill>
        <patternFill>
          <bgColor rgb="FFDCDCDC"/>
        </patternFill>
      </fill>
    </dxf>
    <dxf>
      <font>
        <color rgb="FFDCDCDC"/>
      </font>
      <fill>
        <patternFill>
          <bgColor rgb="FFDCDCDC"/>
        </patternFill>
      </fill>
    </dxf>
    <dxf>
      <font>
        <color rgb="FFDCDCDC"/>
      </font>
      <fill>
        <patternFill>
          <bgColor rgb="FFDCDCDC"/>
        </patternFill>
      </fill>
    </dxf>
    <dxf>
      <font>
        <color rgb="FFDCDCDC"/>
      </font>
      <fill>
        <patternFill>
          <bgColor rgb="FFDCDCDC"/>
        </patternFill>
      </fill>
    </dxf>
    <dxf>
      <font>
        <color rgb="FFDCDCDC"/>
      </font>
      <fill>
        <patternFill>
          <bgColor rgb="FFDCDCDC"/>
        </patternFill>
      </fill>
    </dxf>
    <dxf>
      <font>
        <color rgb="FFDCDCDC"/>
      </font>
      <fill>
        <patternFill>
          <bgColor rgb="FFDCDCDC"/>
        </patternFill>
      </fill>
    </dxf>
    <dxf>
      <font>
        <color rgb="FFDCDCDC"/>
      </font>
      <fill>
        <patternFill>
          <bgColor rgb="FFDCDCD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DCDCDC"/>
      </font>
      <fill>
        <patternFill>
          <bgColor rgb="FFDCDCDC"/>
        </patternFill>
      </fill>
    </dxf>
    <dxf>
      <font>
        <color theme="0" tint="-0.14996795556505021"/>
      </font>
      <fill>
        <patternFill>
          <bgColor theme="0" tint="-0.14996795556505021"/>
        </patternFill>
      </fill>
    </dxf>
    <dxf>
      <font>
        <color theme="0" tint="-0.14996795556505021"/>
      </font>
      <fill>
        <patternFill>
          <bgColor theme="0" tint="-0.14996795556505021"/>
        </patternFill>
      </fill>
      <border>
        <left/>
        <right/>
        <top/>
        <bottom/>
      </border>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DCDCDC"/>
      </font>
      <fill>
        <patternFill>
          <bgColor rgb="FFDCDCDC"/>
        </patternFill>
      </fill>
    </dxf>
    <dxf>
      <font>
        <color rgb="FFDCDCDC"/>
      </font>
      <fill>
        <patternFill>
          <bgColor rgb="FFDCDCDC"/>
        </patternFill>
      </fill>
    </dxf>
    <dxf>
      <font>
        <color rgb="FFDCDCDC"/>
      </font>
      <fill>
        <patternFill>
          <bgColor rgb="FFDCDCDC"/>
        </patternFill>
      </fill>
    </dxf>
    <dxf>
      <font>
        <color rgb="FFDCDCDC"/>
      </font>
      <fill>
        <patternFill>
          <bgColor rgb="FFDCDCDC"/>
        </patternFill>
      </fill>
    </dxf>
    <dxf>
      <font>
        <color rgb="FFDCDCDC"/>
      </font>
      <fill>
        <patternFill>
          <bgColor rgb="FFDCDCDC"/>
        </patternFill>
      </fill>
    </dxf>
    <dxf>
      <font>
        <color rgb="FFDCDCDC"/>
      </font>
      <fill>
        <patternFill>
          <bgColor rgb="FFDCDCDC"/>
        </patternFill>
      </fill>
    </dxf>
    <dxf>
      <font>
        <color rgb="FFDCDCDC"/>
      </font>
      <fill>
        <patternFill>
          <bgColor rgb="FFDCDCDC"/>
        </patternFill>
      </fill>
    </dxf>
    <dxf>
      <font>
        <b/>
        <i val="0"/>
        <color rgb="FFC00000"/>
      </font>
      <fill>
        <patternFill>
          <bgColor rgb="FFFFFF00"/>
        </patternFill>
      </fill>
    </dxf>
    <dxf>
      <font>
        <color rgb="FFDCDCDC"/>
      </font>
      <fill>
        <patternFill>
          <bgColor rgb="FFDCDCDC"/>
        </patternFill>
      </fill>
    </dxf>
    <dxf>
      <font>
        <color rgb="FFDCDCDC"/>
      </font>
      <fill>
        <patternFill>
          <bgColor rgb="FFDCDCD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DCDCDC"/>
      </font>
      <fill>
        <patternFill>
          <bgColor rgb="FFDCDCDC"/>
        </patternFill>
      </fill>
    </dxf>
    <dxf>
      <font>
        <color rgb="FFDCDCDC"/>
      </font>
      <fill>
        <patternFill>
          <bgColor rgb="FFDCDCD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DCDCDC"/>
      </font>
      <fill>
        <patternFill>
          <bgColor rgb="FFDCDCD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DCDCDC"/>
      </font>
      <fill>
        <patternFill>
          <bgColor rgb="FFDCDCD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DCDCDC"/>
      </font>
      <fill>
        <patternFill>
          <bgColor rgb="FFDCDCDC"/>
        </patternFill>
      </fill>
    </dxf>
    <dxf>
      <font>
        <color theme="0" tint="-0.14996795556505021"/>
      </font>
      <fill>
        <patternFill>
          <bgColor theme="0" tint="-0.14996795556505021"/>
        </patternFill>
      </fill>
    </dxf>
    <dxf>
      <font>
        <color theme="0" tint="-0.14996795556505021"/>
      </font>
      <fill>
        <patternFill>
          <bgColor theme="0" tint="-0.14996795556505021"/>
        </patternFill>
      </fill>
      <border>
        <vertical/>
        <horizontal/>
      </border>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DCDCDC"/>
      </font>
      <fill>
        <patternFill>
          <bgColor rgb="FFDCDCDC"/>
        </patternFill>
      </fill>
    </dxf>
    <dxf>
      <font>
        <color rgb="FFDCDCDC"/>
      </font>
      <fill>
        <patternFill>
          <bgColor rgb="FFDCDCDC"/>
        </patternFill>
      </fill>
    </dxf>
    <dxf>
      <font>
        <color theme="0" tint="-0.14996795556505021"/>
      </font>
      <fill>
        <patternFill>
          <bgColor theme="0" tint="-0.14996795556505021"/>
        </patternFill>
      </fill>
    </dxf>
    <dxf>
      <font>
        <color rgb="FFDCDCDC"/>
      </font>
      <fill>
        <patternFill>
          <bgColor rgb="FFDCDCDC"/>
        </patternFill>
      </fill>
    </dxf>
    <dxf>
      <font>
        <color rgb="FFDCDCDC"/>
      </font>
      <fill>
        <patternFill>
          <bgColor rgb="FFDCDCDC"/>
        </patternFill>
      </fill>
    </dxf>
    <dxf>
      <font>
        <color theme="0" tint="-0.14996795556505021"/>
      </font>
      <fill>
        <patternFill>
          <bgColor theme="0" tint="-0.14996795556505021"/>
        </patternFill>
      </fill>
    </dxf>
    <dxf>
      <font>
        <color rgb="FFDCDCDC"/>
      </font>
      <fill>
        <patternFill>
          <bgColor rgb="FFDCDCDC"/>
        </patternFill>
      </fill>
    </dxf>
    <dxf>
      <font>
        <color rgb="FFDCDCDC"/>
      </font>
      <fill>
        <patternFill>
          <bgColor rgb="FFDCDCDC"/>
        </patternFill>
      </fill>
    </dxf>
    <dxf>
      <font>
        <color rgb="FFDCDCDC"/>
      </font>
      <fill>
        <patternFill>
          <bgColor rgb="FFDCDCDC"/>
        </patternFill>
      </fill>
    </dxf>
    <dxf>
      <font>
        <color rgb="FFDCDCDC"/>
      </font>
      <fill>
        <patternFill>
          <bgColor rgb="FFDCDCDC"/>
        </patternFill>
      </fill>
    </dxf>
    <dxf>
      <font>
        <color rgb="FFDCDCDC"/>
      </font>
      <fill>
        <patternFill>
          <bgColor rgb="FFDCDCDC"/>
        </patternFill>
      </fill>
    </dxf>
    <dxf>
      <font>
        <color rgb="FFDCDCDC"/>
      </font>
      <fill>
        <patternFill>
          <bgColor rgb="FFDCDCDC"/>
        </patternFill>
      </fill>
    </dxf>
    <dxf>
      <font>
        <color rgb="FFDCDCDC"/>
      </font>
      <fill>
        <patternFill>
          <bgColor rgb="FFDCDCDC"/>
        </patternFill>
      </fill>
    </dxf>
    <dxf>
      <font>
        <color rgb="FFDCDCDC"/>
      </font>
      <fill>
        <patternFill>
          <bgColor rgb="FFDCDCDC"/>
        </patternFill>
      </fill>
    </dxf>
    <dxf>
      <font>
        <color rgb="FFDCDCDC"/>
      </font>
      <fill>
        <patternFill>
          <bgColor rgb="FFDCDCDC"/>
        </patternFill>
      </fill>
    </dxf>
    <dxf>
      <font>
        <color rgb="FFDCDCDC"/>
      </font>
      <fill>
        <patternFill>
          <bgColor rgb="FFDCDCDC"/>
        </patternFill>
      </fill>
    </dxf>
    <dxf>
      <font>
        <color rgb="FFDCDCDC"/>
      </font>
      <fill>
        <patternFill>
          <bgColor rgb="FFDCDCDC"/>
        </patternFill>
      </fill>
    </dxf>
    <dxf>
      <font>
        <color rgb="FFDCDCDC"/>
      </font>
      <fill>
        <patternFill>
          <bgColor rgb="FFDCDCDC"/>
        </patternFill>
      </fill>
    </dxf>
    <dxf>
      <font>
        <color theme="0" tint="-0.14996795556505021"/>
      </font>
      <fill>
        <patternFill>
          <bgColor theme="0" tint="-0.14996795556505021"/>
        </patternFill>
      </fill>
    </dxf>
    <dxf>
      <font>
        <color theme="0" tint="-0.14996795556505021"/>
      </font>
      <fill>
        <patternFill>
          <bgColor theme="0" tint="-0.14996795556505021"/>
        </patternFill>
      </fill>
      <border>
        <vertical/>
        <horizontal/>
      </border>
    </dxf>
    <dxf>
      <font>
        <color theme="0" tint="-0.14996795556505021"/>
      </font>
      <fill>
        <patternFill>
          <bgColor theme="0" tint="-0.14996795556505021"/>
        </patternFill>
      </fill>
      <border>
        <left/>
        <right/>
        <top/>
        <bottom/>
      </border>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DCDCDC"/>
      </font>
      <fill>
        <patternFill>
          <bgColor rgb="FFDCDCDC"/>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DCDCDC"/>
      </font>
      <fill>
        <patternFill>
          <bgColor rgb="FFDCDCDC"/>
        </patternFill>
      </fill>
    </dxf>
    <dxf>
      <font>
        <color theme="0" tint="-0.14996795556505021"/>
      </font>
      <fill>
        <patternFill>
          <bgColor rgb="FFDCDCDC"/>
        </patternFill>
      </fill>
    </dxf>
    <dxf>
      <font>
        <color theme="0" tint="-0.14996795556505021"/>
      </font>
      <fill>
        <patternFill>
          <bgColor theme="0" tint="-0.14996795556505021"/>
        </patternFill>
      </fill>
    </dxf>
    <dxf>
      <font>
        <color rgb="FFDCDCDC"/>
      </font>
      <fill>
        <patternFill>
          <bgColor rgb="FFDCDCDC"/>
        </patternFill>
      </fill>
    </dxf>
    <dxf>
      <font>
        <color rgb="FFDCDCDC"/>
      </font>
      <fill>
        <patternFill>
          <bgColor rgb="FFDCDCDC"/>
        </patternFill>
      </fill>
    </dxf>
    <dxf>
      <font>
        <color rgb="FFDCDCDC"/>
      </font>
      <fill>
        <patternFill>
          <bgColor rgb="FFDCDCDC"/>
        </patternFill>
      </fill>
    </dxf>
    <dxf>
      <font>
        <color rgb="FFDCDCDC"/>
      </font>
      <fill>
        <patternFill>
          <bgColor rgb="FFDCDCDC"/>
        </patternFill>
      </fill>
    </dxf>
    <dxf>
      <font>
        <color rgb="FFDCDCDC"/>
      </font>
      <fill>
        <patternFill>
          <bgColor rgb="FFDCDCDC"/>
        </patternFill>
      </fill>
    </dxf>
    <dxf>
      <font>
        <color rgb="FFDCDCDC"/>
      </font>
      <fill>
        <patternFill>
          <bgColor rgb="FFDCDCDC"/>
        </patternFill>
      </fill>
    </dxf>
    <dxf>
      <font>
        <color rgb="FFDCDCDC"/>
      </font>
      <fill>
        <patternFill>
          <bgColor rgb="FFDCDCDC"/>
        </patternFill>
      </fill>
    </dxf>
    <dxf>
      <font>
        <color rgb="FFDCDCDC"/>
      </font>
      <fill>
        <patternFill>
          <bgColor rgb="FFDCDCDC"/>
        </patternFill>
      </fill>
    </dxf>
    <dxf>
      <font>
        <color rgb="FFDCDCDC"/>
      </font>
      <fill>
        <patternFill>
          <bgColor rgb="FFDCDCDC"/>
        </patternFill>
      </fill>
    </dxf>
    <dxf>
      <font>
        <color rgb="FFDCDCDC"/>
      </font>
      <fill>
        <patternFill>
          <bgColor rgb="FFDCDCDC"/>
        </patternFill>
      </fill>
    </dxf>
    <dxf>
      <font>
        <color rgb="FFDCDCDC"/>
      </font>
      <fill>
        <patternFill>
          <bgColor rgb="FFDCDCDC"/>
        </patternFill>
      </fill>
    </dxf>
    <dxf>
      <font>
        <color rgb="FFDCDCDC"/>
      </font>
      <fill>
        <patternFill>
          <bgColor rgb="FFDCDCDC"/>
        </patternFill>
      </fill>
    </dxf>
    <dxf>
      <font>
        <color rgb="FFDCDCDC"/>
      </font>
      <fill>
        <patternFill>
          <bgColor rgb="FFDCDCDC"/>
        </patternFill>
      </fill>
    </dxf>
    <dxf>
      <font>
        <color rgb="FFDCDCDC"/>
      </font>
      <fill>
        <patternFill>
          <bgColor rgb="FFDCDCDC"/>
        </patternFill>
      </fill>
    </dxf>
    <dxf>
      <font>
        <color rgb="FFDCDCDC"/>
      </font>
      <fill>
        <patternFill>
          <bgColor rgb="FFDCDCD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DCDCDC"/>
      </font>
      <fill>
        <patternFill>
          <bgColor rgb="FFDCDCDC"/>
        </patternFill>
      </fill>
    </dxf>
    <dxf>
      <font>
        <color rgb="FFDCDCDC"/>
      </font>
      <fill>
        <patternFill>
          <bgColor rgb="FFDCDCDC"/>
        </patternFill>
      </fill>
    </dxf>
    <dxf>
      <font>
        <color rgb="FFDCDCDC"/>
      </font>
      <fill>
        <patternFill>
          <bgColor rgb="FFDCDCDC"/>
        </patternFill>
      </fill>
    </dxf>
    <dxf>
      <font>
        <color rgb="FFDCDCDC"/>
      </font>
      <fill>
        <patternFill>
          <bgColor rgb="FFDCDCDC"/>
        </patternFill>
      </fill>
    </dxf>
    <dxf>
      <font>
        <color rgb="FFDCDCDC"/>
      </font>
      <fill>
        <patternFill>
          <bgColor rgb="FFDCDCDC"/>
        </patternFill>
      </fill>
    </dxf>
    <dxf>
      <font>
        <color rgb="FFDCDCDC"/>
      </font>
      <fill>
        <patternFill>
          <bgColor rgb="FFDCDCDC"/>
        </patternFill>
      </fill>
    </dxf>
    <dxf>
      <font>
        <color rgb="FFDCDCDC"/>
      </font>
      <fill>
        <patternFill>
          <bgColor rgb="FFDCDCDC"/>
        </patternFill>
      </fill>
    </dxf>
    <dxf>
      <font>
        <color rgb="FFDCDCDC"/>
      </font>
      <fill>
        <patternFill>
          <bgColor rgb="FFDCDCDC"/>
        </patternFill>
      </fill>
    </dxf>
    <dxf>
      <font>
        <color rgb="FFDCDCDC"/>
      </font>
      <fill>
        <patternFill>
          <bgColor rgb="FFDCDCDC"/>
        </patternFill>
      </fill>
    </dxf>
    <dxf>
      <font>
        <color rgb="FFDCDCDC"/>
      </font>
      <fill>
        <patternFill>
          <bgColor rgb="FFDCDCDC"/>
        </patternFill>
      </fill>
    </dxf>
    <dxf>
      <font>
        <color rgb="FFDCDCDC"/>
      </font>
      <fill>
        <patternFill>
          <bgColor rgb="FFDCDCDC"/>
        </patternFill>
      </fill>
    </dxf>
    <dxf>
      <font>
        <color rgb="FFDCDCDC"/>
      </font>
      <fill>
        <patternFill>
          <bgColor rgb="FFDCDCDC"/>
        </patternFill>
      </fill>
    </dxf>
    <dxf>
      <font>
        <color theme="0" tint="-0.14996795556505021"/>
      </font>
      <fill>
        <patternFill>
          <bgColor theme="0" tint="-0.14996795556505021"/>
        </patternFill>
      </fill>
    </dxf>
    <dxf>
      <font>
        <color rgb="FFDCDCDC"/>
      </font>
      <fill>
        <patternFill>
          <bgColor rgb="FFDCDCDC"/>
        </patternFill>
      </fill>
    </dxf>
    <dxf>
      <font>
        <color rgb="FFDCDCDC"/>
      </font>
      <fill>
        <patternFill>
          <bgColor rgb="FFDCDCDC"/>
        </patternFill>
      </fill>
    </dxf>
    <dxf>
      <font>
        <color rgb="FFDCDCDC"/>
      </font>
      <fill>
        <patternFill>
          <bgColor rgb="FFDCDCDC"/>
        </patternFill>
      </fill>
    </dxf>
    <dxf>
      <font>
        <color rgb="FFDCDCDC"/>
      </font>
      <fill>
        <patternFill>
          <bgColor rgb="FFDCDCDC"/>
        </patternFill>
      </fill>
      <border>
        <left style="thin">
          <color theme="0" tint="-0.14996795556505021"/>
        </left>
        <right style="thin">
          <color theme="0" tint="-0.14996795556505021"/>
        </right>
        <top style="thin">
          <color theme="0" tint="-0.14996795556505021"/>
        </top>
        <bottom style="thin">
          <color theme="0" tint="-0.14996795556505021"/>
        </bottom>
      </border>
    </dxf>
    <dxf>
      <font>
        <color rgb="FFDCDCDC"/>
      </font>
      <fill>
        <patternFill>
          <bgColor rgb="FFDCDCDC"/>
        </patternFill>
      </fill>
    </dxf>
    <dxf>
      <font>
        <color rgb="FFDCDCDC"/>
      </font>
      <fill>
        <patternFill>
          <bgColor rgb="FFDCDCDC"/>
        </patternFill>
      </fill>
    </dxf>
    <dxf>
      <font>
        <color rgb="FFDCDCDC"/>
      </font>
      <fill>
        <patternFill>
          <bgColor rgb="FFDCDCDC"/>
        </patternFill>
      </fill>
    </dxf>
    <dxf>
      <font>
        <color rgb="FFDCDCDC"/>
      </font>
      <fill>
        <patternFill>
          <bgColor rgb="FFDCDCDC"/>
        </patternFill>
      </fill>
    </dxf>
    <dxf>
      <font>
        <color rgb="FFDCDCDC"/>
      </font>
      <fill>
        <patternFill>
          <bgColor rgb="FFDCDCDC"/>
        </patternFill>
      </fill>
    </dxf>
    <dxf>
      <font>
        <color rgb="FFDCDCDC"/>
      </font>
      <fill>
        <patternFill>
          <bgColor rgb="FFDCDCDC"/>
        </patternFill>
      </fill>
    </dxf>
    <dxf>
      <font>
        <color rgb="FFDCDCDC"/>
      </font>
      <fill>
        <patternFill>
          <bgColor rgb="FFDCDCDC"/>
        </patternFill>
      </fill>
    </dxf>
    <dxf>
      <font>
        <color rgb="FFDCDCDC"/>
      </font>
      <fill>
        <patternFill>
          <bgColor rgb="FFDCDCDC"/>
        </patternFill>
      </fill>
    </dxf>
    <dxf>
      <font>
        <color rgb="FFDCDCDC"/>
      </font>
      <fill>
        <patternFill>
          <bgColor rgb="FFDCDCDC"/>
        </patternFill>
      </fill>
    </dxf>
    <dxf>
      <font>
        <color rgb="FFDCDCDC"/>
      </font>
      <fill>
        <patternFill>
          <bgColor rgb="FFDCDCDC"/>
        </patternFill>
      </fill>
    </dxf>
    <dxf>
      <font>
        <color theme="0" tint="-0.14996795556505021"/>
      </font>
      <fill>
        <patternFill>
          <bgColor theme="0" tint="-0.14996795556505021"/>
        </patternFill>
      </fill>
    </dxf>
    <dxf>
      <font>
        <color rgb="FFDCDCDC"/>
      </font>
      <fill>
        <patternFill>
          <bgColor rgb="FFDCDCDC"/>
        </patternFill>
      </fill>
    </dxf>
    <dxf>
      <font>
        <color rgb="FFDCDCDC"/>
      </font>
      <fill>
        <patternFill>
          <bgColor rgb="FFDCDCDC"/>
        </patternFill>
      </fill>
    </dxf>
    <dxf>
      <font>
        <color theme="0" tint="-0.14996795556505021"/>
      </font>
      <fill>
        <patternFill>
          <bgColor theme="0" tint="-0.14996795556505021"/>
        </patternFill>
      </fill>
    </dxf>
    <dxf>
      <font>
        <color rgb="FFDCDCDC"/>
      </font>
      <fill>
        <patternFill>
          <bgColor rgb="FFDCDCDC"/>
        </patternFill>
      </fill>
    </dxf>
    <dxf>
      <font>
        <color rgb="FFDCDCDC"/>
      </font>
      <fill>
        <patternFill>
          <bgColor rgb="FFDCDCDC"/>
        </patternFill>
      </fill>
    </dxf>
    <dxf>
      <font>
        <b val="0"/>
        <i val="0"/>
        <strike val="0"/>
        <condense val="0"/>
        <extend val="0"/>
        <outline val="0"/>
        <shadow val="0"/>
        <u val="none"/>
        <vertAlign val="baseline"/>
        <sz val="10"/>
        <color theme="1"/>
        <name val="Calibri"/>
        <family val="2"/>
        <scheme val="minor"/>
      </font>
      <fill>
        <patternFill patternType="none">
          <fgColor indexed="64"/>
          <bgColor auto="1"/>
        </patternFill>
      </fill>
      <protection locked="0" hidden="0"/>
    </dxf>
    <dxf>
      <font>
        <b val="0"/>
        <i val="0"/>
        <strike val="0"/>
        <condense val="0"/>
        <extend val="0"/>
        <outline val="0"/>
        <shadow val="0"/>
        <u val="none"/>
        <vertAlign val="baseline"/>
        <sz val="10"/>
        <color theme="1"/>
        <name val="Calibri"/>
        <family val="2"/>
        <scheme val="minor"/>
      </font>
      <fill>
        <patternFill patternType="none">
          <fgColor indexed="64"/>
          <bgColor auto="1"/>
        </patternFill>
      </fill>
      <protection locked="0" hidden="0"/>
    </dxf>
    <dxf>
      <font>
        <b val="0"/>
        <i val="0"/>
        <strike val="0"/>
        <condense val="0"/>
        <extend val="0"/>
        <outline val="0"/>
        <shadow val="0"/>
        <u val="none"/>
        <vertAlign val="baseline"/>
        <sz val="10"/>
        <color theme="1"/>
        <name val="Calibri"/>
        <family val="2"/>
        <scheme val="minor"/>
      </font>
      <protection locked="0" hidden="0"/>
    </dxf>
    <dxf>
      <fill>
        <patternFill patternType="solid">
          <fgColor rgb="FFFFFF00"/>
          <bgColor rgb="FF000000"/>
        </patternFill>
      </fill>
    </dxf>
  </dxfs>
  <tableStyles count="0" defaultTableStyle="TableStyleMedium2" defaultPivotStyle="PivotStyleLight16"/>
  <colors>
    <mruColors>
      <color rgb="FF53565A"/>
      <color rgb="FF535250"/>
      <color rgb="FFFFD9D9"/>
      <color rgb="FF000000"/>
      <color rgb="FFFF6C00"/>
      <color rgb="FFDCDCD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22/11/relationships/FeaturePropertyBag" Target="featurePropertyBag/featurePropertyBag.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 Id="rId27" Type="http://schemas.openxmlformats.org/officeDocument/2006/relationships/customXml" Target="../customXml/item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2.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3.png"/></Relationships>
</file>

<file path=xl/drawings/_rels/drawing5.xml.rels><?xml version="1.0" encoding="UTF-8" standalone="yes"?>
<Relationships xmlns="http://schemas.openxmlformats.org/package/2006/relationships"><Relationship Id="rId1"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6.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7.emf"/></Relationships>
</file>

<file path=xl/drawings/drawing1.xml><?xml version="1.0" encoding="utf-8"?>
<xdr:wsDr xmlns:xdr="http://schemas.openxmlformats.org/drawingml/2006/spreadsheetDrawing" xmlns:a="http://schemas.openxmlformats.org/drawingml/2006/main">
  <xdr:twoCellAnchor>
    <xdr:from>
      <xdr:col>1</xdr:col>
      <xdr:colOff>420052</xdr:colOff>
      <xdr:row>0</xdr:row>
      <xdr:rowOff>200025</xdr:rowOff>
    </xdr:from>
    <xdr:to>
      <xdr:col>4</xdr:col>
      <xdr:colOff>152400</xdr:colOff>
      <xdr:row>0</xdr:row>
      <xdr:rowOff>800100</xdr:rowOff>
    </xdr:to>
    <xdr:pic>
      <xdr:nvPicPr>
        <xdr:cNvPr id="8" name="Picture 3">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0552" y="200025"/>
          <a:ext cx="1723073"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590550</xdr:colOff>
      <xdr:row>0</xdr:row>
      <xdr:rowOff>142875</xdr:rowOff>
    </xdr:from>
    <xdr:to>
      <xdr:col>10</xdr:col>
      <xdr:colOff>28002</xdr:colOff>
      <xdr:row>0</xdr:row>
      <xdr:rowOff>750501</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stretch>
          <a:fillRect/>
        </a:stretch>
      </xdr:blipFill>
      <xdr:spPr>
        <a:xfrm>
          <a:off x="3429000" y="142875"/>
          <a:ext cx="2314002" cy="607626"/>
        </a:xfrm>
        <a:prstGeom prst="rect">
          <a:avLst/>
        </a:prstGeom>
      </xdr:spPr>
    </xdr:pic>
    <xdr:clientData/>
  </xdr:twoCellAnchor>
  <xdr:twoCellAnchor editAs="oneCell">
    <xdr:from>
      <xdr:col>14</xdr:col>
      <xdr:colOff>9525</xdr:colOff>
      <xdr:row>0</xdr:row>
      <xdr:rowOff>304800</xdr:rowOff>
    </xdr:from>
    <xdr:to>
      <xdr:col>21</xdr:col>
      <xdr:colOff>467384</xdr:colOff>
      <xdr:row>6</xdr:row>
      <xdr:rowOff>552943</xdr:rowOff>
    </xdr:to>
    <xdr:pic>
      <xdr:nvPicPr>
        <xdr:cNvPr id="2" name="Picture 1">
          <a:extLst>
            <a:ext uri="{FF2B5EF4-FFF2-40B4-BE49-F238E27FC236}">
              <a16:creationId xmlns:a16="http://schemas.microsoft.com/office/drawing/2014/main" id="{F4E4BDAB-4ADD-7C55-A746-5A950C5B3E1D}"/>
            </a:ext>
          </a:extLst>
        </xdr:cNvPr>
        <xdr:cNvPicPr>
          <a:picLocks noChangeAspect="1"/>
        </xdr:cNvPicPr>
      </xdr:nvPicPr>
      <xdr:blipFill>
        <a:blip xmlns:r="http://schemas.openxmlformats.org/officeDocument/2006/relationships" r:embed="rId3"/>
        <a:stretch>
          <a:fillRect/>
        </a:stretch>
      </xdr:blipFill>
      <xdr:spPr>
        <a:xfrm>
          <a:off x="7315200" y="304800"/>
          <a:ext cx="4725059" cy="3534268"/>
        </a:xfrm>
        <a:prstGeom prst="rect">
          <a:avLst/>
        </a:prstGeom>
      </xdr:spPr>
    </xdr:pic>
    <xdr:clientData/>
  </xdr:twoCellAnchor>
  <xdr:twoCellAnchor editAs="oneCell">
    <xdr:from>
      <xdr:col>14</xdr:col>
      <xdr:colOff>85725</xdr:colOff>
      <xdr:row>7</xdr:row>
      <xdr:rowOff>85725</xdr:rowOff>
    </xdr:from>
    <xdr:to>
      <xdr:col>21</xdr:col>
      <xdr:colOff>486426</xdr:colOff>
      <xdr:row>22</xdr:row>
      <xdr:rowOff>888</xdr:rowOff>
    </xdr:to>
    <xdr:pic>
      <xdr:nvPicPr>
        <xdr:cNvPr id="3" name="Picture 2">
          <a:extLst>
            <a:ext uri="{FF2B5EF4-FFF2-40B4-BE49-F238E27FC236}">
              <a16:creationId xmlns:a16="http://schemas.microsoft.com/office/drawing/2014/main" id="{740D0A33-279D-4665-8D1C-7E824A8F1519}"/>
            </a:ext>
          </a:extLst>
        </xdr:cNvPr>
        <xdr:cNvPicPr>
          <a:picLocks noChangeAspect="1"/>
        </xdr:cNvPicPr>
      </xdr:nvPicPr>
      <xdr:blipFill>
        <a:blip xmlns:r="http://schemas.openxmlformats.org/officeDocument/2006/relationships" r:embed="rId4"/>
        <a:stretch>
          <a:fillRect/>
        </a:stretch>
      </xdr:blipFill>
      <xdr:spPr>
        <a:xfrm>
          <a:off x="7391400" y="3952875"/>
          <a:ext cx="4667901" cy="63635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323850</xdr:colOff>
      <xdr:row>0</xdr:row>
      <xdr:rowOff>142875</xdr:rowOff>
    </xdr:from>
    <xdr:to>
      <xdr:col>7</xdr:col>
      <xdr:colOff>437577</xdr:colOff>
      <xdr:row>0</xdr:row>
      <xdr:rowOff>750501</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1828800" y="142875"/>
          <a:ext cx="2314002" cy="607626"/>
        </a:xfrm>
        <a:prstGeom prst="rect">
          <a:avLst/>
        </a:prstGeom>
      </xdr:spPr>
    </xdr:pic>
    <xdr:clientData/>
  </xdr:twoCellAnchor>
  <xdr:twoCellAnchor editAs="oneCell">
    <xdr:from>
      <xdr:col>13</xdr:col>
      <xdr:colOff>590550</xdr:colOff>
      <xdr:row>0</xdr:row>
      <xdr:rowOff>323850</xdr:rowOff>
    </xdr:from>
    <xdr:to>
      <xdr:col>21</xdr:col>
      <xdr:colOff>438809</xdr:colOff>
      <xdr:row>5</xdr:row>
      <xdr:rowOff>133650</xdr:rowOff>
    </xdr:to>
    <xdr:pic>
      <xdr:nvPicPr>
        <xdr:cNvPr id="3" name="Picture 2">
          <a:extLst>
            <a:ext uri="{FF2B5EF4-FFF2-40B4-BE49-F238E27FC236}">
              <a16:creationId xmlns:a16="http://schemas.microsoft.com/office/drawing/2014/main" id="{AD583FF8-D96B-E168-619D-5B4EFC1C52F7}"/>
            </a:ext>
          </a:extLst>
        </xdr:cNvPr>
        <xdr:cNvPicPr>
          <a:picLocks noChangeAspect="1"/>
        </xdr:cNvPicPr>
      </xdr:nvPicPr>
      <xdr:blipFill>
        <a:blip xmlns:r="http://schemas.openxmlformats.org/officeDocument/2006/relationships" r:embed="rId2"/>
        <a:stretch>
          <a:fillRect/>
        </a:stretch>
      </xdr:blipFill>
      <xdr:spPr>
        <a:xfrm>
          <a:off x="7286625" y="323850"/>
          <a:ext cx="4725059" cy="2152950"/>
        </a:xfrm>
        <a:prstGeom prst="rect">
          <a:avLst/>
        </a:prstGeom>
      </xdr:spPr>
    </xdr:pic>
    <xdr:clientData/>
  </xdr:twoCellAnchor>
  <xdr:twoCellAnchor editAs="oneCell">
    <xdr:from>
      <xdr:col>14</xdr:col>
      <xdr:colOff>142875</xdr:colOff>
      <xdr:row>18</xdr:row>
      <xdr:rowOff>171450</xdr:rowOff>
    </xdr:from>
    <xdr:to>
      <xdr:col>21</xdr:col>
      <xdr:colOff>476892</xdr:colOff>
      <xdr:row>23</xdr:row>
      <xdr:rowOff>476613</xdr:rowOff>
    </xdr:to>
    <xdr:pic>
      <xdr:nvPicPr>
        <xdr:cNvPr id="8" name="Picture 7">
          <a:extLst>
            <a:ext uri="{FF2B5EF4-FFF2-40B4-BE49-F238E27FC236}">
              <a16:creationId xmlns:a16="http://schemas.microsoft.com/office/drawing/2014/main" id="{D60D7354-8B50-68CF-D8AD-61B29EADDB57}"/>
            </a:ext>
          </a:extLst>
        </xdr:cNvPr>
        <xdr:cNvPicPr>
          <a:picLocks noChangeAspect="1"/>
        </xdr:cNvPicPr>
      </xdr:nvPicPr>
      <xdr:blipFill>
        <a:blip xmlns:r="http://schemas.openxmlformats.org/officeDocument/2006/relationships" r:embed="rId3"/>
        <a:stretch>
          <a:fillRect/>
        </a:stretch>
      </xdr:blipFill>
      <xdr:spPr>
        <a:xfrm>
          <a:off x="7448550" y="7867650"/>
          <a:ext cx="4601217" cy="2600688"/>
        </a:xfrm>
        <a:prstGeom prst="rect">
          <a:avLst/>
        </a:prstGeom>
      </xdr:spPr>
    </xdr:pic>
    <xdr:clientData/>
  </xdr:twoCellAnchor>
  <xdr:twoCellAnchor editAs="oneCell">
    <xdr:from>
      <xdr:col>22</xdr:col>
      <xdr:colOff>561975</xdr:colOff>
      <xdr:row>0</xdr:row>
      <xdr:rowOff>371475</xdr:rowOff>
    </xdr:from>
    <xdr:to>
      <xdr:col>30</xdr:col>
      <xdr:colOff>381655</xdr:colOff>
      <xdr:row>13</xdr:row>
      <xdr:rowOff>334191</xdr:rowOff>
    </xdr:to>
    <xdr:pic>
      <xdr:nvPicPr>
        <xdr:cNvPr id="9" name="Picture 8">
          <a:extLst>
            <a:ext uri="{FF2B5EF4-FFF2-40B4-BE49-F238E27FC236}">
              <a16:creationId xmlns:a16="http://schemas.microsoft.com/office/drawing/2014/main" id="{E6C12528-A4E4-ECB4-EA5A-31314ED74DB6}"/>
            </a:ext>
          </a:extLst>
        </xdr:cNvPr>
        <xdr:cNvPicPr>
          <a:picLocks noChangeAspect="1"/>
        </xdr:cNvPicPr>
      </xdr:nvPicPr>
      <xdr:blipFill>
        <a:blip xmlns:r="http://schemas.openxmlformats.org/officeDocument/2006/relationships" r:embed="rId4"/>
        <a:stretch>
          <a:fillRect/>
        </a:stretch>
      </xdr:blipFill>
      <xdr:spPr>
        <a:xfrm>
          <a:off x="12744450" y="371475"/>
          <a:ext cx="4696480" cy="5849166"/>
        </a:xfrm>
        <a:prstGeom prst="rect">
          <a:avLst/>
        </a:prstGeom>
      </xdr:spPr>
    </xdr:pic>
    <xdr:clientData/>
  </xdr:twoCellAnchor>
  <xdr:twoCellAnchor editAs="oneCell">
    <xdr:from>
      <xdr:col>23</xdr:col>
      <xdr:colOff>66675</xdr:colOff>
      <xdr:row>14</xdr:row>
      <xdr:rowOff>19050</xdr:rowOff>
    </xdr:from>
    <xdr:to>
      <xdr:col>30</xdr:col>
      <xdr:colOff>400692</xdr:colOff>
      <xdr:row>19</xdr:row>
      <xdr:rowOff>200306</xdr:rowOff>
    </xdr:to>
    <xdr:pic>
      <xdr:nvPicPr>
        <xdr:cNvPr id="13" name="Picture 12">
          <a:extLst>
            <a:ext uri="{FF2B5EF4-FFF2-40B4-BE49-F238E27FC236}">
              <a16:creationId xmlns:a16="http://schemas.microsoft.com/office/drawing/2014/main" id="{72704AE2-C335-2F16-A007-F12C4E73E816}"/>
            </a:ext>
          </a:extLst>
        </xdr:cNvPr>
        <xdr:cNvPicPr>
          <a:picLocks noChangeAspect="1"/>
        </xdr:cNvPicPr>
      </xdr:nvPicPr>
      <xdr:blipFill>
        <a:blip xmlns:r="http://schemas.openxmlformats.org/officeDocument/2006/relationships" r:embed="rId5"/>
        <a:stretch>
          <a:fillRect/>
        </a:stretch>
      </xdr:blipFill>
      <xdr:spPr>
        <a:xfrm>
          <a:off x="12858750" y="6267450"/>
          <a:ext cx="4601217" cy="2010056"/>
        </a:xfrm>
        <a:prstGeom prst="rect">
          <a:avLst/>
        </a:prstGeom>
      </xdr:spPr>
    </xdr:pic>
    <xdr:clientData/>
  </xdr:twoCellAnchor>
  <xdr:twoCellAnchor editAs="oneCell">
    <xdr:from>
      <xdr:col>14</xdr:col>
      <xdr:colOff>19050</xdr:colOff>
      <xdr:row>5</xdr:row>
      <xdr:rowOff>152400</xdr:rowOff>
    </xdr:from>
    <xdr:to>
      <xdr:col>21</xdr:col>
      <xdr:colOff>400699</xdr:colOff>
      <xdr:row>17</xdr:row>
      <xdr:rowOff>353147</xdr:rowOff>
    </xdr:to>
    <xdr:pic>
      <xdr:nvPicPr>
        <xdr:cNvPr id="14" name="Picture 13">
          <a:extLst>
            <a:ext uri="{FF2B5EF4-FFF2-40B4-BE49-F238E27FC236}">
              <a16:creationId xmlns:a16="http://schemas.microsoft.com/office/drawing/2014/main" id="{3F069274-B870-0BE4-5ACD-6274BD82B2F8}"/>
            </a:ext>
          </a:extLst>
        </xdr:cNvPr>
        <xdr:cNvPicPr>
          <a:picLocks noChangeAspect="1"/>
        </xdr:cNvPicPr>
      </xdr:nvPicPr>
      <xdr:blipFill>
        <a:blip xmlns:r="http://schemas.openxmlformats.org/officeDocument/2006/relationships" r:embed="rId6"/>
        <a:stretch>
          <a:fillRect/>
        </a:stretch>
      </xdr:blipFill>
      <xdr:spPr>
        <a:xfrm>
          <a:off x="7324725" y="2495550"/>
          <a:ext cx="4648849" cy="517279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420052</xdr:colOff>
      <xdr:row>0</xdr:row>
      <xdr:rowOff>171450</xdr:rowOff>
    </xdr:from>
    <xdr:to>
      <xdr:col>4</xdr:col>
      <xdr:colOff>152400</xdr:colOff>
      <xdr:row>0</xdr:row>
      <xdr:rowOff>771525</xdr:rowOff>
    </xdr:to>
    <xdr:pic>
      <xdr:nvPicPr>
        <xdr:cNvPr id="3" name="Picture 3">
          <a:extLst>
            <a:ext uri="{FF2B5EF4-FFF2-40B4-BE49-F238E27FC236}">
              <a16:creationId xmlns:a16="http://schemas.microsoft.com/office/drawing/2014/main" id="{235C46D9-4B73-4FAE-BF26-8806378E5C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0552" y="171450"/>
          <a:ext cx="1723073"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590550</xdr:colOff>
      <xdr:row>0</xdr:row>
      <xdr:rowOff>142875</xdr:rowOff>
    </xdr:from>
    <xdr:to>
      <xdr:col>10</xdr:col>
      <xdr:colOff>28002</xdr:colOff>
      <xdr:row>0</xdr:row>
      <xdr:rowOff>750501</xdr:rowOff>
    </xdr:to>
    <xdr:pic>
      <xdr:nvPicPr>
        <xdr:cNvPr id="4" name="Picture 3">
          <a:extLst>
            <a:ext uri="{FF2B5EF4-FFF2-40B4-BE49-F238E27FC236}">
              <a16:creationId xmlns:a16="http://schemas.microsoft.com/office/drawing/2014/main" id="{2FAB54DA-FBF4-41DF-AFA8-E3FA2442FF71}"/>
            </a:ext>
          </a:extLst>
        </xdr:cNvPr>
        <xdr:cNvPicPr>
          <a:picLocks noChangeAspect="1"/>
        </xdr:cNvPicPr>
      </xdr:nvPicPr>
      <xdr:blipFill>
        <a:blip xmlns:r="http://schemas.openxmlformats.org/officeDocument/2006/relationships" r:embed="rId2"/>
        <a:stretch>
          <a:fillRect/>
        </a:stretch>
      </xdr:blipFill>
      <xdr:spPr>
        <a:xfrm>
          <a:off x="3429000" y="142875"/>
          <a:ext cx="2314002" cy="607626"/>
        </a:xfrm>
        <a:prstGeom prst="rect">
          <a:avLst/>
        </a:prstGeom>
      </xdr:spPr>
    </xdr:pic>
    <xdr:clientData/>
  </xdr:twoCellAnchor>
  <xdr:twoCellAnchor editAs="oneCell">
    <xdr:from>
      <xdr:col>13</xdr:col>
      <xdr:colOff>581025</xdr:colOff>
      <xdr:row>0</xdr:row>
      <xdr:rowOff>285750</xdr:rowOff>
    </xdr:from>
    <xdr:to>
      <xdr:col>21</xdr:col>
      <xdr:colOff>429284</xdr:colOff>
      <xdr:row>18</xdr:row>
      <xdr:rowOff>86571</xdr:rowOff>
    </xdr:to>
    <xdr:pic>
      <xdr:nvPicPr>
        <xdr:cNvPr id="5" name="Picture 4">
          <a:extLst>
            <a:ext uri="{FF2B5EF4-FFF2-40B4-BE49-F238E27FC236}">
              <a16:creationId xmlns:a16="http://schemas.microsoft.com/office/drawing/2014/main" id="{43576F38-F12D-0DE6-B47E-291DAF844B97}"/>
            </a:ext>
          </a:extLst>
        </xdr:cNvPr>
        <xdr:cNvPicPr>
          <a:picLocks noChangeAspect="1"/>
        </xdr:cNvPicPr>
      </xdr:nvPicPr>
      <xdr:blipFill>
        <a:blip xmlns:r="http://schemas.openxmlformats.org/officeDocument/2006/relationships" r:embed="rId3"/>
        <a:stretch>
          <a:fillRect/>
        </a:stretch>
      </xdr:blipFill>
      <xdr:spPr>
        <a:xfrm>
          <a:off x="7277100" y="285750"/>
          <a:ext cx="4725059" cy="6058746"/>
        </a:xfrm>
        <a:prstGeom prst="rect">
          <a:avLst/>
        </a:prstGeom>
      </xdr:spPr>
    </xdr:pic>
    <xdr:clientData/>
  </xdr:twoCellAnchor>
  <xdr:twoCellAnchor editAs="oneCell">
    <xdr:from>
      <xdr:col>13</xdr:col>
      <xdr:colOff>600075</xdr:colOff>
      <xdr:row>18</xdr:row>
      <xdr:rowOff>133350</xdr:rowOff>
    </xdr:from>
    <xdr:to>
      <xdr:col>21</xdr:col>
      <xdr:colOff>362597</xdr:colOff>
      <xdr:row>25</xdr:row>
      <xdr:rowOff>324245</xdr:rowOff>
    </xdr:to>
    <xdr:pic>
      <xdr:nvPicPr>
        <xdr:cNvPr id="6" name="Picture 5">
          <a:extLst>
            <a:ext uri="{FF2B5EF4-FFF2-40B4-BE49-F238E27FC236}">
              <a16:creationId xmlns:a16="http://schemas.microsoft.com/office/drawing/2014/main" id="{0600F2B8-497E-BB3C-4BBB-896B9B247CD0}"/>
            </a:ext>
          </a:extLst>
        </xdr:cNvPr>
        <xdr:cNvPicPr>
          <a:picLocks noChangeAspect="1"/>
        </xdr:cNvPicPr>
      </xdr:nvPicPr>
      <xdr:blipFill>
        <a:blip xmlns:r="http://schemas.openxmlformats.org/officeDocument/2006/relationships" r:embed="rId4"/>
        <a:stretch>
          <a:fillRect/>
        </a:stretch>
      </xdr:blipFill>
      <xdr:spPr>
        <a:xfrm>
          <a:off x="7296150" y="6391275"/>
          <a:ext cx="4639322" cy="28293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420052</xdr:colOff>
      <xdr:row>0</xdr:row>
      <xdr:rowOff>171450</xdr:rowOff>
    </xdr:from>
    <xdr:to>
      <xdr:col>4</xdr:col>
      <xdr:colOff>152400</xdr:colOff>
      <xdr:row>0</xdr:row>
      <xdr:rowOff>771525</xdr:rowOff>
    </xdr:to>
    <xdr:pic>
      <xdr:nvPicPr>
        <xdr:cNvPr id="3" name="Picture 3">
          <a:extLst>
            <a:ext uri="{FF2B5EF4-FFF2-40B4-BE49-F238E27FC236}">
              <a16:creationId xmlns:a16="http://schemas.microsoft.com/office/drawing/2014/main" id="{B286D271-C7D4-4117-9FDE-F0B3166954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0552" y="171450"/>
          <a:ext cx="1723073"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590550</xdr:colOff>
      <xdr:row>0</xdr:row>
      <xdr:rowOff>142875</xdr:rowOff>
    </xdr:from>
    <xdr:to>
      <xdr:col>10</xdr:col>
      <xdr:colOff>28002</xdr:colOff>
      <xdr:row>0</xdr:row>
      <xdr:rowOff>750501</xdr:rowOff>
    </xdr:to>
    <xdr:pic>
      <xdr:nvPicPr>
        <xdr:cNvPr id="4" name="Picture 3">
          <a:extLst>
            <a:ext uri="{FF2B5EF4-FFF2-40B4-BE49-F238E27FC236}">
              <a16:creationId xmlns:a16="http://schemas.microsoft.com/office/drawing/2014/main" id="{8A49E9B7-12FE-4F2F-AF8D-FE88B2584BCD}"/>
            </a:ext>
          </a:extLst>
        </xdr:cNvPr>
        <xdr:cNvPicPr>
          <a:picLocks noChangeAspect="1"/>
        </xdr:cNvPicPr>
      </xdr:nvPicPr>
      <xdr:blipFill>
        <a:blip xmlns:r="http://schemas.openxmlformats.org/officeDocument/2006/relationships" r:embed="rId2"/>
        <a:stretch>
          <a:fillRect/>
        </a:stretch>
      </xdr:blipFill>
      <xdr:spPr>
        <a:xfrm>
          <a:off x="3429000" y="142875"/>
          <a:ext cx="2314002" cy="607626"/>
        </a:xfrm>
        <a:prstGeom prst="rect">
          <a:avLst/>
        </a:prstGeom>
      </xdr:spPr>
    </xdr:pic>
    <xdr:clientData/>
  </xdr:twoCellAnchor>
  <xdr:twoCellAnchor editAs="oneCell">
    <xdr:from>
      <xdr:col>14</xdr:col>
      <xdr:colOff>38100</xdr:colOff>
      <xdr:row>0</xdr:row>
      <xdr:rowOff>276225</xdr:rowOff>
    </xdr:from>
    <xdr:to>
      <xdr:col>21</xdr:col>
      <xdr:colOff>505486</xdr:colOff>
      <xdr:row>6</xdr:row>
      <xdr:rowOff>543421</xdr:rowOff>
    </xdr:to>
    <xdr:pic>
      <xdr:nvPicPr>
        <xdr:cNvPr id="5" name="Picture 4">
          <a:extLst>
            <a:ext uri="{FF2B5EF4-FFF2-40B4-BE49-F238E27FC236}">
              <a16:creationId xmlns:a16="http://schemas.microsoft.com/office/drawing/2014/main" id="{AF58E4F2-AB82-C5AE-717B-EA3095938479}"/>
            </a:ext>
          </a:extLst>
        </xdr:cNvPr>
        <xdr:cNvPicPr>
          <a:picLocks noChangeAspect="1"/>
        </xdr:cNvPicPr>
      </xdr:nvPicPr>
      <xdr:blipFill>
        <a:blip xmlns:r="http://schemas.openxmlformats.org/officeDocument/2006/relationships" r:embed="rId3"/>
        <a:stretch>
          <a:fillRect/>
        </a:stretch>
      </xdr:blipFill>
      <xdr:spPr>
        <a:xfrm>
          <a:off x="7343775" y="276225"/>
          <a:ext cx="4734586" cy="3553321"/>
        </a:xfrm>
        <a:prstGeom prst="rect">
          <a:avLst/>
        </a:prstGeom>
      </xdr:spPr>
    </xdr:pic>
    <xdr:clientData/>
  </xdr:twoCellAnchor>
  <xdr:twoCellAnchor editAs="oneCell">
    <xdr:from>
      <xdr:col>14</xdr:col>
      <xdr:colOff>123825</xdr:colOff>
      <xdr:row>6</xdr:row>
      <xdr:rowOff>561975</xdr:rowOff>
    </xdr:from>
    <xdr:to>
      <xdr:col>21</xdr:col>
      <xdr:colOff>543579</xdr:colOff>
      <xdr:row>20</xdr:row>
      <xdr:rowOff>343764</xdr:rowOff>
    </xdr:to>
    <xdr:pic>
      <xdr:nvPicPr>
        <xdr:cNvPr id="8" name="Picture 7">
          <a:extLst>
            <a:ext uri="{FF2B5EF4-FFF2-40B4-BE49-F238E27FC236}">
              <a16:creationId xmlns:a16="http://schemas.microsoft.com/office/drawing/2014/main" id="{56DC451F-0955-FAC6-5B28-CFAEB701593B}"/>
            </a:ext>
          </a:extLst>
        </xdr:cNvPr>
        <xdr:cNvPicPr>
          <a:picLocks noChangeAspect="1"/>
        </xdr:cNvPicPr>
      </xdr:nvPicPr>
      <xdr:blipFill>
        <a:blip xmlns:r="http://schemas.openxmlformats.org/officeDocument/2006/relationships" r:embed="rId4"/>
        <a:stretch>
          <a:fillRect/>
        </a:stretch>
      </xdr:blipFill>
      <xdr:spPr>
        <a:xfrm>
          <a:off x="7429500" y="3848100"/>
          <a:ext cx="4686954" cy="61921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2406650</xdr:colOff>
      <xdr:row>30</xdr:row>
      <xdr:rowOff>133350</xdr:rowOff>
    </xdr:from>
    <xdr:to>
      <xdr:col>3</xdr:col>
      <xdr:colOff>800100</xdr:colOff>
      <xdr:row>33</xdr:row>
      <xdr:rowOff>146050</xdr:rowOff>
    </xdr:to>
    <xdr:sp macro="" textlink="">
      <xdr:nvSpPr>
        <xdr:cNvPr id="4" name="Rectangle 3">
          <a:extLst>
            <a:ext uri="{FF2B5EF4-FFF2-40B4-BE49-F238E27FC236}">
              <a16:creationId xmlns:a16="http://schemas.microsoft.com/office/drawing/2014/main" id="{00000000-0008-0000-0500-000004000000}"/>
            </a:ext>
          </a:extLst>
        </xdr:cNvPr>
        <xdr:cNvSpPr/>
      </xdr:nvSpPr>
      <xdr:spPr>
        <a:xfrm>
          <a:off x="2406650" y="7727950"/>
          <a:ext cx="3340100" cy="488950"/>
        </a:xfrm>
        <a:prstGeom prst="rect">
          <a:avLst/>
        </a:prstGeom>
        <a:solidFill>
          <a:srgbClr val="FFD9D9"/>
        </a:solidFill>
        <a:ln w="28575">
          <a:solidFill>
            <a:srgbClr val="C00000"/>
          </a:solidFill>
        </a:ln>
        <a:scene3d>
          <a:camera prst="orthographicFront"/>
          <a:lightRig rig="threePt" dir="t"/>
        </a:scene3d>
        <a:sp3d>
          <a:bevelT w="139700" prst="cross"/>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10</xdr:col>
      <xdr:colOff>0</xdr:colOff>
      <xdr:row>2</xdr:row>
      <xdr:rowOff>0</xdr:rowOff>
    </xdr:from>
    <xdr:to>
      <xdr:col>10</xdr:col>
      <xdr:colOff>9525</xdr:colOff>
      <xdr:row>2</xdr:row>
      <xdr:rowOff>9525</xdr:rowOff>
    </xdr:to>
    <xdr:pic>
      <xdr:nvPicPr>
        <xdr:cNvPr id="2" name="Picture 1" descr="Show previous rows (inactive button) (Alt+,)">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52100" y="1638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xdr:row>
      <xdr:rowOff>0</xdr:rowOff>
    </xdr:from>
    <xdr:to>
      <xdr:col>10</xdr:col>
      <xdr:colOff>9525</xdr:colOff>
      <xdr:row>2</xdr:row>
      <xdr:rowOff>9525</xdr:rowOff>
    </xdr:to>
    <xdr:pic>
      <xdr:nvPicPr>
        <xdr:cNvPr id="3" name="Picture 2" descr="Show next rows (inactive button) (Alt+.)">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52100" y="1638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2484120</xdr:colOff>
          <xdr:row>31</xdr:row>
          <xdr:rowOff>60960</xdr:rowOff>
        </xdr:from>
        <xdr:to>
          <xdr:col>3</xdr:col>
          <xdr:colOff>678180</xdr:colOff>
          <xdr:row>33</xdr:row>
          <xdr:rowOff>7620</xdr:rowOff>
        </xdr:to>
        <xdr:sp macro="" textlink="">
          <xdr:nvSpPr>
            <xdr:cNvPr id="2049" name="CommandButton1" hidden="1">
              <a:extLst>
                <a:ext uri="{63B3BB69-23CF-44E3-9099-C40C66FF867C}">
                  <a14:compatExt spid="_x0000_s2049"/>
                </a:ext>
                <a:ext uri="{FF2B5EF4-FFF2-40B4-BE49-F238E27FC236}">
                  <a16:creationId xmlns:a16="http://schemas.microsoft.com/office/drawing/2014/main" id="{00000000-0008-0000-08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533400</xdr:colOff>
          <xdr:row>12</xdr:row>
          <xdr:rowOff>114300</xdr:rowOff>
        </xdr:from>
        <xdr:to>
          <xdr:col>3</xdr:col>
          <xdr:colOff>1554480</xdr:colOff>
          <xdr:row>12</xdr:row>
          <xdr:rowOff>800100</xdr:rowOff>
        </xdr:to>
        <xdr:sp macro="" textlink="">
          <xdr:nvSpPr>
            <xdr:cNvPr id="26625" name="Object 1" hidden="1">
              <a:extLst>
                <a:ext uri="{63B3BB69-23CF-44E3-9099-C40C66FF867C}">
                  <a14:compatExt spid="_x0000_s26625"/>
                </a:ext>
                <a:ext uri="{FF2B5EF4-FFF2-40B4-BE49-F238E27FC236}">
                  <a16:creationId xmlns:a16="http://schemas.microsoft.com/office/drawing/2014/main" id="{00000000-0008-0000-0900-0000016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259080</xdr:colOff>
          <xdr:row>2</xdr:row>
          <xdr:rowOff>121920</xdr:rowOff>
        </xdr:from>
        <xdr:to>
          <xdr:col>2</xdr:col>
          <xdr:colOff>1173480</xdr:colOff>
          <xdr:row>2</xdr:row>
          <xdr:rowOff>807720</xdr:rowOff>
        </xdr:to>
        <xdr:sp macro="" textlink="">
          <xdr:nvSpPr>
            <xdr:cNvPr id="20486" name="Object 6" hidden="1">
              <a:extLst>
                <a:ext uri="{63B3BB69-23CF-44E3-9099-C40C66FF867C}">
                  <a14:compatExt spid="_x0000_s20486"/>
                </a:ext>
                <a:ext uri="{FF2B5EF4-FFF2-40B4-BE49-F238E27FC236}">
                  <a16:creationId xmlns:a16="http://schemas.microsoft.com/office/drawing/2014/main" id="{00000000-0008-0000-0A00-0000065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reedelsevier.sharepoint.com/sites/AccountsPayable/SiteAssets/SitePages/Home/Published%20Versions/Published%20Versions/Published%20Versions/Published%20Versions/Global%20PeopleSoft%20Supplier%20Enrollment%20Form%20FINAL%20New.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reedelsevier.sharepoint.com/Users/Coursokj/Desktop/Propose_Global%20Supplier%20for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
      <sheetName val="Instructions"/>
      <sheetName val="HSN SAC"/>
      <sheetName val="India Registrations"/>
      <sheetName val="W8-W9"/>
      <sheetName val="Vendorin"/>
      <sheetName val="Invoicing Requirements"/>
      <sheetName val="Languages"/>
      <sheetName val="Drop Down Lists"/>
      <sheetName val="Conditions"/>
      <sheetName val="indirect&amp;text"/>
      <sheetName val="VM Team Conditions"/>
      <sheetName val="OL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quest form"/>
      <sheetName val="US"/>
      <sheetName val="UK"/>
      <sheetName val="Asia (other than India)"/>
      <sheetName val="India"/>
      <sheetName val="Pacific"/>
      <sheetName val="W8-W9"/>
      <sheetName val="Values_supfor"/>
      <sheetName val="Values"/>
      <sheetName val="reqform_pwd"/>
    </sheetNames>
    <sheetDataSet>
      <sheetData sheetId="0"/>
      <sheetData sheetId="1"/>
      <sheetData sheetId="2"/>
      <sheetData sheetId="3"/>
      <sheetData sheetId="4"/>
      <sheetData sheetId="5"/>
      <sheetData sheetId="6"/>
      <sheetData sheetId="7"/>
      <sheetData sheetId="8"/>
      <sheetData sheetId="9"/>
    </sheetDataSet>
  </externalBook>
</externalLink>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225A5A5-9C9C-4A23-BA9A-3D4F8308E111}" name="Table2" displayName="Table2" ref="D1:D20" totalsRowShown="0" headerRowDxfId="217" dataDxfId="216">
  <tableColumns count="1">
    <tableColumn id="1" xr3:uid="{D8ECDA22-11EA-4850-8FC7-738B51AE9C65}" name="Select One…" dataDxfId="215">
      <calculatedColumnFormula>Languages!L127</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2013 – 2022-Design">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irs.gov/pub/irs-pdf/fw8bene.pdf" TargetMode="External"/><Relationship Id="rId7" Type="http://schemas.openxmlformats.org/officeDocument/2006/relationships/drawing" Target="../drawings/drawing6.xml"/><Relationship Id="rId2" Type="http://schemas.openxmlformats.org/officeDocument/2006/relationships/hyperlink" Target="http://www.irs.gov/pub/irs-pdf/iw8ben.pdf" TargetMode="External"/><Relationship Id="rId1" Type="http://schemas.openxmlformats.org/officeDocument/2006/relationships/hyperlink" Target="http://www.irs.gov/pub/irs-pdf/fw8ben.pdf" TargetMode="External"/><Relationship Id="rId6" Type="http://schemas.openxmlformats.org/officeDocument/2006/relationships/printerSettings" Target="../printerSettings/printerSettings10.bin"/><Relationship Id="rId5" Type="http://schemas.openxmlformats.org/officeDocument/2006/relationships/hyperlink" Target="http://apps.irs.gov/app/picklist/list/formsInstructions.html;jsessionid=M3Lwum5eJlYNtYFF3jb9YA__?value=W9&amp;criteria=formNumber&amp;submitSearch=Find" TargetMode="External"/><Relationship Id="rId10" Type="http://schemas.openxmlformats.org/officeDocument/2006/relationships/image" Target="../media/image16.emf"/><Relationship Id="rId4" Type="http://schemas.openxmlformats.org/officeDocument/2006/relationships/hyperlink" Target="http://www.irs.gov/pub/irs-pdf/iw8bene.pdf" TargetMode="External"/><Relationship Id="rId9" Type="http://schemas.openxmlformats.org/officeDocument/2006/relationships/package" Target="../embeddings/Microsoft_Word_Document.docx"/></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11.bin"/><Relationship Id="rId5" Type="http://schemas.openxmlformats.org/officeDocument/2006/relationships/image" Target="../media/image17.emf"/><Relationship Id="rId4" Type="http://schemas.openxmlformats.org/officeDocument/2006/relationships/oleObject" Target="../embeddings/oleObject1.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12.bin"/><Relationship Id="rId1" Type="http://schemas.openxmlformats.org/officeDocument/2006/relationships/hyperlink" Target="javascript:doUpdateParent(document.win0,'"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mailto:AP.FRvendormaintenance@lexisnexis.fr"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hyperlink" Target="mailto:procurement.sa@lexisnexis.co.za" TargetMode="Externa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9.bin"/><Relationship Id="rId5" Type="http://schemas.openxmlformats.org/officeDocument/2006/relationships/image" Target="../media/image14.emf"/><Relationship Id="rId4" Type="http://schemas.openxmlformats.org/officeDocument/2006/relationships/control" Target="../activeX/activeX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488153-95F6-4DBE-A2F4-52F2106646B5}">
  <sheetPr codeName="Sheet1"/>
  <dimension ref="A1:S187"/>
  <sheetViews>
    <sheetView showGridLines="0" topLeftCell="A48" zoomScaleNormal="100" workbookViewId="0">
      <selection sqref="A1:L1"/>
    </sheetView>
  </sheetViews>
  <sheetFormatPr baseColWidth="10" defaultColWidth="9.109375" defaultRowHeight="14.4"/>
  <cols>
    <col min="1" max="1" width="2.88671875" style="2" customWidth="1"/>
    <col min="2" max="3" width="9.88671875" style="1" customWidth="1"/>
    <col min="4" max="4" width="10.109375" style="1" customWidth="1"/>
    <col min="5" max="5" width="9.88671875" style="1" customWidth="1"/>
    <col min="6" max="6" width="10.109375" style="1" customWidth="1"/>
    <col min="7" max="7" width="2.88671875" style="1" customWidth="1"/>
    <col min="8" max="8" width="8.88671875" style="1" customWidth="1"/>
    <col min="9" max="9" width="10.88671875" style="1" customWidth="1"/>
    <col min="10" max="10" width="10.44140625" style="1" customWidth="1"/>
    <col min="11" max="11" width="12.88671875" style="1" customWidth="1"/>
    <col min="12" max="12" width="1.88671875" style="1" customWidth="1"/>
    <col min="13" max="13" width="4.88671875" style="1" hidden="1" customWidth="1"/>
    <col min="14" max="16384" width="9.109375" style="1"/>
  </cols>
  <sheetData>
    <row r="1" spans="1:14" ht="69.75" customHeight="1">
      <c r="A1" s="506"/>
      <c r="B1" s="507"/>
      <c r="C1" s="507"/>
      <c r="D1" s="507"/>
      <c r="E1" s="507"/>
      <c r="F1" s="507"/>
      <c r="G1" s="507"/>
      <c r="H1" s="507"/>
      <c r="I1" s="507"/>
      <c r="J1" s="507"/>
      <c r="K1" s="507"/>
      <c r="L1" s="508"/>
      <c r="M1" s="1" t="s">
        <v>0</v>
      </c>
    </row>
    <row r="2" spans="1:14" ht="54" customHeight="1">
      <c r="A2" s="509" t="str">
        <f>Languages!L10</f>
        <v>GLOBAL ACCOUNTS PAYABLE ENROLLMENT FORM</v>
      </c>
      <c r="B2" s="510"/>
      <c r="C2" s="510"/>
      <c r="D2" s="510"/>
      <c r="E2" s="510"/>
      <c r="F2" s="510"/>
      <c r="G2" s="510"/>
      <c r="H2" s="510"/>
      <c r="I2" s="510"/>
      <c r="J2" s="510"/>
      <c r="K2" s="510"/>
      <c r="L2" s="511"/>
      <c r="M2" s="1" t="s">
        <v>0</v>
      </c>
    </row>
    <row r="3" spans="1:14" ht="17.100000000000001" customHeight="1" thickBot="1">
      <c r="A3" s="518" t="s">
        <v>1</v>
      </c>
      <c r="B3" s="519"/>
      <c r="C3" s="519"/>
      <c r="D3" s="519"/>
      <c r="E3" s="519"/>
      <c r="F3" s="519"/>
      <c r="G3" s="519"/>
      <c r="H3" s="519"/>
      <c r="I3" s="519"/>
      <c r="J3" s="519"/>
      <c r="K3" s="519"/>
      <c r="L3" s="165"/>
      <c r="M3" s="1" t="s">
        <v>0</v>
      </c>
    </row>
    <row r="4" spans="1:14" ht="18.600000000000001" thickBot="1">
      <c r="A4" s="120"/>
      <c r="B4" s="504" t="str">
        <f>Languages!L3</f>
        <v>Language</v>
      </c>
      <c r="C4" s="504"/>
      <c r="D4" s="505"/>
      <c r="E4" s="332" t="s">
        <v>2</v>
      </c>
      <c r="F4" s="333"/>
      <c r="G4" s="333"/>
      <c r="H4" s="333"/>
      <c r="I4" s="333"/>
      <c r="J4" s="333"/>
      <c r="K4" s="333"/>
      <c r="L4" s="164"/>
      <c r="M4" s="1" t="s">
        <v>0</v>
      </c>
    </row>
    <row r="5" spans="1:14" s="2" customFormat="1" ht="57" customHeight="1" thickBot="1">
      <c r="A5" s="84" t="s">
        <v>3</v>
      </c>
      <c r="B5" s="375" t="str">
        <f>Languages!L11</f>
        <v>No invoices or royalty payments will be paid prior to receipt of completed forms and validation callback.</v>
      </c>
      <c r="C5" s="375"/>
      <c r="D5" s="375"/>
      <c r="E5" s="375"/>
      <c r="F5" s="375"/>
      <c r="G5" s="375"/>
      <c r="H5" s="375"/>
      <c r="I5" s="375"/>
      <c r="J5" s="375"/>
      <c r="K5" s="375"/>
      <c r="L5" s="95"/>
      <c r="M5" s="2" t="s">
        <v>0</v>
      </c>
    </row>
    <row r="6" spans="1:14" s="2" customFormat="1" ht="42.6" customHeight="1" thickBot="1">
      <c r="A6" s="388" t="str">
        <f>Languages!L12</f>
        <v>For internal use by LexisNexis Legal &amp; Professional and RELX</v>
      </c>
      <c r="B6" s="389"/>
      <c r="C6" s="389"/>
      <c r="D6" s="389"/>
      <c r="E6" s="389"/>
      <c r="F6" s="389"/>
      <c r="G6" s="389"/>
      <c r="H6" s="389"/>
      <c r="I6" s="389"/>
      <c r="J6" s="389"/>
      <c r="K6" s="389"/>
      <c r="L6" s="390"/>
      <c r="M6" s="2" t="s">
        <v>0</v>
      </c>
    </row>
    <row r="7" spans="1:14" s="2" customFormat="1" ht="45.75" customHeight="1" thickBot="1">
      <c r="A7" s="161"/>
      <c r="B7" s="378" t="str">
        <f>Languages!L6</f>
        <v>Please complete ALL required fields in this section and forward to your supplier contact for completion.</v>
      </c>
      <c r="C7" s="378"/>
      <c r="D7" s="378"/>
      <c r="E7" s="378"/>
      <c r="F7" s="378"/>
      <c r="G7" s="378"/>
      <c r="H7" s="378"/>
      <c r="I7" s="162" t="s">
        <v>4</v>
      </c>
      <c r="J7" s="379" t="str">
        <f>Languages!L9</f>
        <v>Required Field</v>
      </c>
      <c r="K7" s="379"/>
      <c r="L7" s="163"/>
      <c r="M7" s="2" t="s">
        <v>0</v>
      </c>
    </row>
    <row r="8" spans="1:14" s="2" customFormat="1" ht="25.5" customHeight="1">
      <c r="A8" s="120" t="s">
        <v>0</v>
      </c>
      <c r="B8" s="514" t="str">
        <f>Languages!L13</f>
        <v>Request Date</v>
      </c>
      <c r="C8" s="515"/>
      <c r="D8" s="515"/>
      <c r="E8" s="380"/>
      <c r="F8" s="381"/>
      <c r="G8" s="381"/>
      <c r="H8" s="381"/>
      <c r="I8" s="381"/>
      <c r="J8" s="381"/>
      <c r="K8" s="381"/>
      <c r="L8" s="382"/>
      <c r="M8" s="2" t="str">
        <f>A8</f>
        <v>*</v>
      </c>
    </row>
    <row r="9" spans="1:14" s="2" customFormat="1" ht="27.6" customHeight="1">
      <c r="A9" s="49" t="s">
        <v>0</v>
      </c>
      <c r="B9" s="281" t="str">
        <f>Languages!L14</f>
        <v>Request Reason</v>
      </c>
      <c r="C9" s="281"/>
      <c r="D9" s="282"/>
      <c r="E9" s="376" t="s">
        <v>2</v>
      </c>
      <c r="F9" s="377"/>
      <c r="G9" s="377"/>
      <c r="H9" s="377"/>
      <c r="I9" s="377"/>
      <c r="J9" s="377"/>
      <c r="K9" s="377"/>
      <c r="L9" s="45"/>
      <c r="M9" s="2" t="str">
        <f>A9</f>
        <v>*</v>
      </c>
    </row>
    <row r="10" spans="1:14" s="2" customFormat="1" ht="36.9" customHeight="1">
      <c r="A10" s="393" t="str">
        <f>IF(B10&gt;"","*","")</f>
        <v/>
      </c>
      <c r="B10" s="353" t="str">
        <f>IF(OR(E9=Languages!L112,E9=Languages!L113),Languages!L15,"")</f>
        <v/>
      </c>
      <c r="C10" s="354"/>
      <c r="D10" s="354"/>
      <c r="E10" s="331" t="str">
        <f>IF(B10&gt;" ",Languages!L16,"")</f>
        <v/>
      </c>
      <c r="F10" s="331"/>
      <c r="G10" s="331"/>
      <c r="H10" s="331"/>
      <c r="I10" s="385" t="str">
        <f>IF(B10&gt;" ",Languages!L17,"")</f>
        <v/>
      </c>
      <c r="J10" s="386"/>
      <c r="K10" s="386"/>
      <c r="L10" s="387"/>
      <c r="M10" s="2" t="str">
        <f>A10</f>
        <v/>
      </c>
    </row>
    <row r="11" spans="1:14" s="2" customFormat="1" ht="52.5" customHeight="1">
      <c r="A11" s="393"/>
      <c r="B11" s="516" t="str">
        <f>IF(B10&gt;" ",Languages!L18,"")</f>
        <v/>
      </c>
      <c r="C11" s="517"/>
      <c r="D11" s="517"/>
      <c r="E11" s="352"/>
      <c r="F11" s="352"/>
      <c r="G11" s="352"/>
      <c r="H11" s="352"/>
      <c r="I11" s="355"/>
      <c r="J11" s="356"/>
      <c r="K11" s="356"/>
      <c r="L11" s="357"/>
      <c r="M11" s="2" t="str">
        <f>A10</f>
        <v/>
      </c>
      <c r="N11" s="137"/>
    </row>
    <row r="12" spans="1:14" s="2" customFormat="1" ht="28.5" customHeight="1">
      <c r="A12" s="49" t="str">
        <f>IF(B12&gt;"","*","")</f>
        <v/>
      </c>
      <c r="B12" s="353" t="str">
        <f>IF(E9=Languages!L112,Languages!L19,"")</f>
        <v/>
      </c>
      <c r="C12" s="354"/>
      <c r="D12" s="354"/>
      <c r="E12" s="361" t="s">
        <v>2</v>
      </c>
      <c r="F12" s="362"/>
      <c r="G12" s="362"/>
      <c r="H12" s="362"/>
      <c r="I12" s="362"/>
      <c r="J12" s="362"/>
      <c r="K12" s="362"/>
      <c r="L12" s="44"/>
      <c r="M12" s="2" t="str">
        <f>A10</f>
        <v/>
      </c>
      <c r="N12" s="137"/>
    </row>
    <row r="13" spans="1:14" s="2" customFormat="1" ht="28.5" customHeight="1">
      <c r="A13" s="49" t="str">
        <f>IF(B13&gt;"","*","")</f>
        <v/>
      </c>
      <c r="B13" s="353" t="str">
        <f>IF(E12=Languages!L114,Languages!L20,"")</f>
        <v/>
      </c>
      <c r="C13" s="354"/>
      <c r="D13" s="354"/>
      <c r="E13" s="358"/>
      <c r="F13" s="359"/>
      <c r="G13" s="359"/>
      <c r="H13" s="359"/>
      <c r="I13" s="359"/>
      <c r="J13" s="359"/>
      <c r="K13" s="359"/>
      <c r="L13" s="360"/>
      <c r="N13" s="137"/>
    </row>
    <row r="14" spans="1:14" s="2" customFormat="1" ht="28.5" customHeight="1">
      <c r="A14" s="49" t="s">
        <v>0</v>
      </c>
      <c r="B14" s="281" t="str">
        <f>Languages!L27</f>
        <v>Business Division</v>
      </c>
      <c r="C14" s="281"/>
      <c r="D14" s="282"/>
      <c r="E14" s="376" t="s">
        <v>2</v>
      </c>
      <c r="F14" s="377"/>
      <c r="G14" s="377"/>
      <c r="H14" s="377"/>
      <c r="I14" s="377"/>
      <c r="J14" s="377"/>
      <c r="K14" s="377"/>
      <c r="L14" s="45"/>
      <c r="M14" s="2" t="str">
        <f>A14</f>
        <v>*</v>
      </c>
    </row>
    <row r="15" spans="1:14" s="2" customFormat="1" ht="27" customHeight="1">
      <c r="A15" s="122" t="s">
        <v>0</v>
      </c>
      <c r="B15" s="367" t="str">
        <f>Languages!L28</f>
        <v>Business Region</v>
      </c>
      <c r="C15" s="367"/>
      <c r="D15" s="368"/>
      <c r="E15" s="365" t="s">
        <v>2</v>
      </c>
      <c r="F15" s="365"/>
      <c r="G15" s="365"/>
      <c r="H15" s="365"/>
      <c r="I15" s="365"/>
      <c r="J15" s="365"/>
      <c r="K15" s="366"/>
      <c r="L15" s="45"/>
      <c r="M15" s="2" t="str">
        <f>A15</f>
        <v>*</v>
      </c>
    </row>
    <row r="16" spans="1:14" s="2" customFormat="1" ht="27" customHeight="1">
      <c r="A16" s="122" t="s">
        <v>0</v>
      </c>
      <c r="B16" s="279" t="str">
        <f>Languages!L183</f>
        <v>Procurement BU</v>
      </c>
      <c r="C16" s="279"/>
      <c r="D16" s="280"/>
      <c r="E16" s="363" t="s">
        <v>2</v>
      </c>
      <c r="F16" s="364"/>
      <c r="G16" s="364"/>
      <c r="H16" s="364"/>
      <c r="I16" s="364"/>
      <c r="J16" s="364"/>
      <c r="K16" s="364"/>
      <c r="L16" s="45"/>
      <c r="M16" s="2" t="str">
        <f>A16</f>
        <v>*</v>
      </c>
    </row>
    <row r="17" spans="1:13" s="2" customFormat="1" ht="35.1" customHeight="1">
      <c r="A17" s="49" t="s">
        <v>0</v>
      </c>
      <c r="B17" s="281" t="s">
        <v>5</v>
      </c>
      <c r="C17" s="282"/>
      <c r="D17" s="350" t="s">
        <v>6</v>
      </c>
      <c r="E17" s="351"/>
      <c r="F17" s="351"/>
      <c r="G17" s="351"/>
      <c r="H17" s="351"/>
      <c r="I17" s="351"/>
      <c r="J17" s="351"/>
      <c r="K17" s="351"/>
      <c r="L17" s="45"/>
      <c r="M17" s="2" t="str">
        <f>IF(E15="Japan","*","")</f>
        <v/>
      </c>
    </row>
    <row r="18" spans="1:13" s="2" customFormat="1" ht="30" customHeight="1">
      <c r="A18" s="49" t="s">
        <v>0</v>
      </c>
      <c r="B18" s="281" t="s">
        <v>7</v>
      </c>
      <c r="C18" s="282"/>
      <c r="D18" s="350" t="s">
        <v>6</v>
      </c>
      <c r="E18" s="351"/>
      <c r="F18" s="351"/>
      <c r="G18" s="351"/>
      <c r="H18" s="351"/>
      <c r="I18" s="351"/>
      <c r="J18" s="351"/>
      <c r="K18" s="351"/>
      <c r="L18" s="45"/>
      <c r="M18" s="2" t="str">
        <f>IF(E15="China","*","")</f>
        <v/>
      </c>
    </row>
    <row r="19" spans="1:13" s="2" customFormat="1" ht="30" customHeight="1">
      <c r="A19" s="49" t="s">
        <v>0</v>
      </c>
      <c r="B19" s="279" t="str">
        <f>Languages!L21</f>
        <v>Supplier Type</v>
      </c>
      <c r="C19" s="280"/>
      <c r="D19" s="369" t="s">
        <v>2</v>
      </c>
      <c r="E19" s="370"/>
      <c r="F19" s="370"/>
      <c r="G19" s="370"/>
      <c r="H19" s="370"/>
      <c r="I19" s="370"/>
      <c r="J19" s="370"/>
      <c r="K19" s="370"/>
      <c r="L19" s="44"/>
      <c r="M19" s="2" t="str">
        <f t="shared" ref="M19:M31" si="0">A19</f>
        <v>*</v>
      </c>
    </row>
    <row r="20" spans="1:13" s="2" customFormat="1" ht="30" customHeight="1">
      <c r="A20" s="49" t="str">
        <f>IF(B20&gt;"","*","")</f>
        <v/>
      </c>
      <c r="B20" s="289" t="str">
        <f>IF(AND(ledger1="Australia",suppaytype=Languages!L127),"Method of Remuneration","")</f>
        <v/>
      </c>
      <c r="C20" s="289"/>
      <c r="D20" s="289"/>
      <c r="E20" s="373" t="s">
        <v>2</v>
      </c>
      <c r="F20" s="383"/>
      <c r="G20" s="383"/>
      <c r="H20" s="384"/>
      <c r="I20" s="177"/>
      <c r="J20" s="182"/>
      <c r="K20" s="182"/>
      <c r="L20" s="44"/>
      <c r="M20" s="2" t="str">
        <f t="shared" si="0"/>
        <v/>
      </c>
    </row>
    <row r="21" spans="1:13" s="2" customFormat="1" ht="39.75" customHeight="1">
      <c r="A21" s="49" t="str">
        <f>IF(B21&gt;"","*","")</f>
        <v/>
      </c>
      <c r="B21" s="290" t="str">
        <f>IF(AND((ledger1="United States"),suppaytype=Languages!L127),Languages!L166,"")</f>
        <v/>
      </c>
      <c r="C21" s="371"/>
      <c r="D21" s="371"/>
      <c r="E21" s="371"/>
      <c r="F21" s="371"/>
      <c r="G21" s="371"/>
      <c r="H21" s="371"/>
      <c r="I21" s="391" t="s">
        <v>8</v>
      </c>
      <c r="J21" s="391"/>
      <c r="K21" s="392"/>
      <c r="L21" s="44"/>
      <c r="M21" s="2" t="str">
        <f t="shared" si="0"/>
        <v/>
      </c>
    </row>
    <row r="22" spans="1:13" s="2" customFormat="1" ht="62.25" customHeight="1">
      <c r="A22" s="186" t="str">
        <f t="shared" ref="A22:A25" si="1">IF(B22&gt;"","*","")</f>
        <v/>
      </c>
      <c r="B22" s="289" t="str">
        <f>IF(I21='Drop Down Lists'!A2,Languages!L168,"")</f>
        <v/>
      </c>
      <c r="C22" s="289"/>
      <c r="D22" s="289"/>
      <c r="E22" s="290"/>
      <c r="F22" s="291" t="s">
        <v>2</v>
      </c>
      <c r="G22" s="292"/>
      <c r="H22" s="292"/>
      <c r="I22" s="292"/>
      <c r="J22" s="292"/>
      <c r="K22" s="292"/>
      <c r="L22" s="45"/>
      <c r="M22" s="2" t="str">
        <f t="shared" si="0"/>
        <v/>
      </c>
    </row>
    <row r="23" spans="1:13" s="2" customFormat="1" ht="39.75" customHeight="1">
      <c r="A23" s="186" t="str">
        <f t="shared" si="1"/>
        <v/>
      </c>
      <c r="B23" s="290" t="str">
        <f>IF(AND((ledger1="United States"),suppaytype=Languages!L127),Languages!L167,"")</f>
        <v/>
      </c>
      <c r="C23" s="371"/>
      <c r="D23" s="371"/>
      <c r="E23" s="371"/>
      <c r="F23" s="371"/>
      <c r="G23" s="371"/>
      <c r="H23" s="371"/>
      <c r="I23" s="391" t="s">
        <v>8</v>
      </c>
      <c r="J23" s="391"/>
      <c r="K23" s="392"/>
      <c r="L23" s="44"/>
      <c r="M23" s="2" t="str">
        <f t="shared" si="0"/>
        <v/>
      </c>
    </row>
    <row r="24" spans="1:13" s="2" customFormat="1" ht="62.25" customHeight="1">
      <c r="A24" s="186" t="str">
        <f t="shared" si="1"/>
        <v/>
      </c>
      <c r="B24" s="289" t="str">
        <f>IF(I23='Drop Down Lists'!A2,Languages!L168,"")</f>
        <v/>
      </c>
      <c r="C24" s="289"/>
      <c r="D24" s="289"/>
      <c r="E24" s="290"/>
      <c r="F24" s="291" t="s">
        <v>2</v>
      </c>
      <c r="G24" s="292"/>
      <c r="H24" s="292"/>
      <c r="I24" s="292"/>
      <c r="J24" s="292"/>
      <c r="K24" s="292"/>
      <c r="L24" s="45"/>
      <c r="M24" s="188" t="str">
        <f t="shared" si="0"/>
        <v/>
      </c>
    </row>
    <row r="25" spans="1:13" s="2" customFormat="1" ht="39.75" customHeight="1">
      <c r="A25" s="186" t="str">
        <f t="shared" si="1"/>
        <v/>
      </c>
      <c r="B25" s="290" t="str">
        <f>IF(AND((ledger1="Canada"),suppaytype=Languages!L127),Languages!L171,"")</f>
        <v/>
      </c>
      <c r="C25" s="371"/>
      <c r="D25" s="371"/>
      <c r="E25" s="371"/>
      <c r="F25" s="371"/>
      <c r="G25" s="371"/>
      <c r="H25" s="371"/>
      <c r="I25" s="372" t="s">
        <v>2</v>
      </c>
      <c r="J25" s="372"/>
      <c r="K25" s="373"/>
      <c r="L25" s="44"/>
      <c r="M25" s="188" t="str">
        <f t="shared" si="0"/>
        <v/>
      </c>
    </row>
    <row r="26" spans="1:13" s="2" customFormat="1" ht="36.6" customHeight="1">
      <c r="A26" s="49" t="str">
        <f>IF(B26&gt;" ","*","")</f>
        <v/>
      </c>
      <c r="B26" s="289" t="str">
        <f>IF(suppaytype=Languages!L132,Languages!L24,"")</f>
        <v/>
      </c>
      <c r="C26" s="289"/>
      <c r="D26" s="289"/>
      <c r="E26" s="289"/>
      <c r="F26" s="289"/>
      <c r="G26" s="290"/>
      <c r="H26" s="396" t="s">
        <v>9</v>
      </c>
      <c r="I26" s="397"/>
      <c r="J26" s="397"/>
      <c r="K26" s="397"/>
      <c r="L26" s="45"/>
      <c r="M26" s="188" t="str">
        <f t="shared" si="0"/>
        <v/>
      </c>
    </row>
    <row r="27" spans="1:13" s="2" customFormat="1" ht="78" customHeight="1">
      <c r="A27" s="49" t="str">
        <f>IF(B27&gt;" ","*","")</f>
        <v/>
      </c>
      <c r="B27" s="290" t="str">
        <f>IF(H26=Languages!L142,CONCATENATE("Does the MSA include the Off-Payroll Workers (OPW) contract clauses, more commonly known as IR35,"&amp;" obliging the supplier to inform RELX if there is a Personal Service Company (PSC) providing services in the UK? A PSC can be engaged directly or via an intermediary such as an agency or any type of services provider.",""),"")</f>
        <v/>
      </c>
      <c r="C27" s="371"/>
      <c r="D27" s="371"/>
      <c r="E27" s="371"/>
      <c r="F27" s="371"/>
      <c r="G27" s="371"/>
      <c r="H27" s="291" t="s">
        <v>2</v>
      </c>
      <c r="I27" s="292"/>
      <c r="J27" s="292"/>
      <c r="K27" s="292"/>
      <c r="L27" s="45"/>
      <c r="M27" s="188" t="str">
        <f t="shared" si="0"/>
        <v/>
      </c>
    </row>
    <row r="28" spans="1:13" s="2" customFormat="1" ht="36.6" customHeight="1">
      <c r="A28" s="49" t="s">
        <v>0</v>
      </c>
      <c r="B28" s="282" t="str">
        <f>Languages!L25</f>
        <v>Requester Name</v>
      </c>
      <c r="C28" s="307"/>
      <c r="D28" s="307"/>
      <c r="E28" s="285"/>
      <c r="F28" s="286"/>
      <c r="G28" s="286"/>
      <c r="H28" s="286"/>
      <c r="I28" s="286"/>
      <c r="J28" s="286"/>
      <c r="K28" s="286"/>
      <c r="L28" s="305"/>
      <c r="M28" s="2" t="str">
        <f t="shared" si="0"/>
        <v>*</v>
      </c>
    </row>
    <row r="29" spans="1:13" s="2" customFormat="1" ht="20.100000000000001" customHeight="1">
      <c r="A29" s="49" t="str">
        <f>IF(B29&gt;"","*","")</f>
        <v/>
      </c>
      <c r="B29" s="394" t="str">
        <f>IF(D4="Chinese 中文","Remarks  コメント/ 按语 / 备注","")</f>
        <v/>
      </c>
      <c r="C29" s="395"/>
      <c r="D29" s="395"/>
      <c r="E29" s="358"/>
      <c r="F29" s="359"/>
      <c r="G29" s="359"/>
      <c r="H29" s="359"/>
      <c r="I29" s="359"/>
      <c r="J29" s="359"/>
      <c r="K29" s="359"/>
      <c r="L29" s="360"/>
      <c r="M29" s="2" t="str">
        <f t="shared" si="0"/>
        <v/>
      </c>
    </row>
    <row r="30" spans="1:13" s="2" customFormat="1" ht="20.100000000000001" customHeight="1">
      <c r="A30" s="49" t="str">
        <f>IF(B30&gt;"","*","")</f>
        <v/>
      </c>
      <c r="B30" s="394" t="str">
        <f>IF(D4="Chinese 中文","Signature  サイン / 签字","")</f>
        <v/>
      </c>
      <c r="C30" s="395"/>
      <c r="D30" s="395"/>
      <c r="E30" s="358"/>
      <c r="F30" s="359"/>
      <c r="G30" s="359"/>
      <c r="H30" s="359"/>
      <c r="I30" s="359"/>
      <c r="J30" s="359"/>
      <c r="K30" s="359"/>
      <c r="L30" s="360"/>
      <c r="M30" s="2" t="str">
        <f t="shared" si="0"/>
        <v/>
      </c>
    </row>
    <row r="31" spans="1:13" s="2" customFormat="1" ht="39" customHeight="1">
      <c r="A31" s="49" t="s">
        <v>0</v>
      </c>
      <c r="B31" s="282" t="str">
        <f>Languages!L26</f>
        <v>Requester Email Address</v>
      </c>
      <c r="C31" s="307"/>
      <c r="D31" s="307"/>
      <c r="E31" s="285"/>
      <c r="F31" s="286"/>
      <c r="G31" s="286"/>
      <c r="H31" s="286"/>
      <c r="I31" s="286"/>
      <c r="J31" s="286"/>
      <c r="K31" s="286"/>
      <c r="L31" s="305"/>
      <c r="M31" s="2" t="str">
        <f t="shared" si="0"/>
        <v>*</v>
      </c>
    </row>
    <row r="32" spans="1:13" s="2" customFormat="1" ht="72.75" customHeight="1">
      <c r="A32" s="122" t="s">
        <v>0</v>
      </c>
      <c r="B32" s="488" t="str">
        <f>Languages!L29</f>
        <v>Pay Method</v>
      </c>
      <c r="C32" s="488"/>
      <c r="D32" s="353"/>
      <c r="E32" s="495" t="str">
        <f>Languages!L30</f>
        <v>RELX standard payment method is Electronic. For any exceptions, email ap.globalvendormaintenance@lexisnexis.com for pre-approval.</v>
      </c>
      <c r="F32" s="496"/>
      <c r="G32" s="496"/>
      <c r="H32" s="496"/>
      <c r="I32" s="496"/>
      <c r="J32" s="496"/>
      <c r="K32" s="496"/>
      <c r="L32" s="45"/>
      <c r="M32" s="2" t="str">
        <f>A32</f>
        <v>*</v>
      </c>
    </row>
    <row r="33" spans="1:13" s="2" customFormat="1" ht="40.5" customHeight="1">
      <c r="A33" s="122" t="str">
        <f>IF(B33&gt;"","*","")</f>
        <v>*</v>
      </c>
      <c r="B33" s="280" t="str">
        <f>IF(suppaytype&lt;&gt;Languages!L131,Languages!L31,"")</f>
        <v>Is there a signed agreement in place stating the Supplier payment terms? (Not applicable for Authors)</v>
      </c>
      <c r="C33" s="446"/>
      <c r="D33" s="446"/>
      <c r="E33" s="446"/>
      <c r="F33" s="446"/>
      <c r="G33" s="446"/>
      <c r="H33" s="446"/>
      <c r="I33" s="446"/>
      <c r="J33" s="479" t="s">
        <v>8</v>
      </c>
      <c r="K33" s="297"/>
      <c r="L33" s="167"/>
      <c r="M33" s="2" t="str">
        <f>A33</f>
        <v>*</v>
      </c>
    </row>
    <row r="34" spans="1:13" s="2" customFormat="1" ht="45.75" customHeight="1">
      <c r="A34" s="122" t="str">
        <f>IF(B34&gt;"","*","")</f>
        <v>*</v>
      </c>
      <c r="B34" s="488" t="str">
        <f>IF(Conditions!AL1&gt;0,"",Languages!L32)</f>
        <v>Payment Terms</v>
      </c>
      <c r="C34" s="488"/>
      <c r="D34" s="353"/>
      <c r="E34" s="495" t="str">
        <f>Languages!L33</f>
        <v>RELX standard payment terms are NET 45 Days.</v>
      </c>
      <c r="F34" s="496"/>
      <c r="G34" s="496"/>
      <c r="H34" s="496"/>
      <c r="I34" s="496"/>
      <c r="J34" s="496"/>
      <c r="K34" s="496"/>
      <c r="L34" s="45"/>
      <c r="M34" s="2" t="str">
        <f>A34</f>
        <v>*</v>
      </c>
    </row>
    <row r="35" spans="1:13" s="2" customFormat="1" ht="69" customHeight="1">
      <c r="A35" s="122" t="str">
        <f>IF(B35&gt;"","*","")</f>
        <v/>
      </c>
      <c r="B35" s="491" t="str">
        <f>IF(J33='Drop Down Lists'!A2,Languages!L34,"")</f>
        <v/>
      </c>
      <c r="C35" s="492"/>
      <c r="D35" s="492"/>
      <c r="E35" s="492"/>
      <c r="F35" s="492"/>
      <c r="G35" s="492"/>
      <c r="H35" s="492"/>
      <c r="I35" s="492"/>
      <c r="J35" s="493"/>
      <c r="K35" s="494"/>
      <c r="L35" s="45"/>
      <c r="M35" s="2" t="str">
        <f>A35</f>
        <v/>
      </c>
    </row>
    <row r="36" spans="1:13" s="2" customFormat="1" ht="39" customHeight="1">
      <c r="A36" s="49" t="str">
        <f>IF(B36&gt;"","*","")</f>
        <v/>
      </c>
      <c r="B36" s="282" t="str">
        <f>IF(E9=Languages!L111,Languages!L35,"")</f>
        <v/>
      </c>
      <c r="C36" s="307"/>
      <c r="D36" s="307"/>
      <c r="E36" s="321"/>
      <c r="F36" s="322"/>
      <c r="G36" s="322"/>
      <c r="H36" s="322"/>
      <c r="I36" s="322"/>
      <c r="J36" s="322"/>
      <c r="K36" s="322"/>
      <c r="L36" s="323"/>
      <c r="M36" s="2" t="str">
        <f t="shared" ref="M36:M45" si="2">A36</f>
        <v/>
      </c>
    </row>
    <row r="37" spans="1:13" s="2" customFormat="1" ht="39" customHeight="1">
      <c r="A37" s="122" t="s">
        <v>0</v>
      </c>
      <c r="B37" s="279" t="str">
        <f>Languages!L178</f>
        <v>Estimated annual spend with supplier (USD):</v>
      </c>
      <c r="C37" s="279"/>
      <c r="D37" s="279"/>
      <c r="E37" s="279"/>
      <c r="F37" s="279"/>
      <c r="G37" s="280"/>
      <c r="H37" s="473" t="s">
        <v>2</v>
      </c>
      <c r="I37" s="474"/>
      <c r="J37" s="474"/>
      <c r="K37" s="474"/>
      <c r="L37" s="166"/>
      <c r="M37" s="2" t="str">
        <f t="shared" si="2"/>
        <v>*</v>
      </c>
    </row>
    <row r="38" spans="1:13" s="2" customFormat="1" ht="46.5" customHeight="1">
      <c r="A38" s="122" t="s">
        <v>0</v>
      </c>
      <c r="B38" s="279" t="str">
        <f>Languages!L179</f>
        <v>Do you believe this supplier is or will soon become one of the topmost 1% of critical suppliers from a business resiliency perspective for your RELX Business Area (RELX Corp, Elsevier, LNLP, Risk, or RX)?</v>
      </c>
      <c r="C38" s="279"/>
      <c r="D38" s="279"/>
      <c r="E38" s="279"/>
      <c r="F38" s="279"/>
      <c r="G38" s="279"/>
      <c r="H38" s="279"/>
      <c r="I38" s="280"/>
      <c r="J38" s="479" t="s">
        <v>8</v>
      </c>
      <c r="K38" s="297"/>
      <c r="L38" s="166"/>
      <c r="M38" s="2" t="str">
        <f t="shared" si="2"/>
        <v>*</v>
      </c>
    </row>
    <row r="39" spans="1:13" s="2" customFormat="1" ht="39" customHeight="1">
      <c r="A39" s="122" t="s">
        <v>0</v>
      </c>
      <c r="B39" s="279" t="str">
        <f>Languages!L180</f>
        <v>Will initial term with supplier be one year or less?</v>
      </c>
      <c r="C39" s="279"/>
      <c r="D39" s="279"/>
      <c r="E39" s="279"/>
      <c r="F39" s="279"/>
      <c r="G39" s="279"/>
      <c r="H39" s="279"/>
      <c r="I39" s="280"/>
      <c r="J39" s="479" t="s">
        <v>8</v>
      </c>
      <c r="K39" s="297"/>
      <c r="L39" s="166"/>
      <c r="M39" s="2" t="str">
        <f t="shared" si="2"/>
        <v>*</v>
      </c>
    </row>
    <row r="40" spans="1:13" s="2" customFormat="1" ht="39" customHeight="1">
      <c r="A40" s="122" t="s">
        <v>0</v>
      </c>
      <c r="B40" s="279" t="str">
        <f>Languages!L181</f>
        <v>Is a contract on file with this supplier?</v>
      </c>
      <c r="C40" s="279"/>
      <c r="D40" s="279"/>
      <c r="E40" s="279"/>
      <c r="F40" s="279"/>
      <c r="G40" s="279"/>
      <c r="H40" s="279"/>
      <c r="I40" s="280"/>
      <c r="J40" s="479" t="s">
        <v>2</v>
      </c>
      <c r="K40" s="297"/>
      <c r="L40" s="166"/>
      <c r="M40" s="2" t="str">
        <f t="shared" si="2"/>
        <v>*</v>
      </c>
    </row>
    <row r="41" spans="1:13" s="2" customFormat="1" ht="39" customHeight="1">
      <c r="A41" s="49" t="str">
        <f>IF(B41&gt;"","*","")</f>
        <v>*</v>
      </c>
      <c r="B41" s="281" t="str">
        <f>IF(Conditions!AI1=0,Languages!L36,"")</f>
        <v>Is a Procurement contract in place? (Not applicable to US Authors)</v>
      </c>
      <c r="C41" s="281"/>
      <c r="D41" s="281"/>
      <c r="E41" s="281"/>
      <c r="F41" s="281"/>
      <c r="G41" s="281"/>
      <c r="H41" s="281"/>
      <c r="I41" s="282"/>
      <c r="J41" s="479" t="s">
        <v>8</v>
      </c>
      <c r="K41" s="297"/>
      <c r="L41" s="45"/>
      <c r="M41" s="2" t="str">
        <f t="shared" si="2"/>
        <v>*</v>
      </c>
    </row>
    <row r="42" spans="1:13" s="2" customFormat="1" ht="32.25" customHeight="1">
      <c r="A42" s="49" t="str">
        <f>IF(J41=Languages!L109,"*","")</f>
        <v/>
      </c>
      <c r="B42" s="500" t="str">
        <f>Languages!L37</f>
        <v>If a Procurement contract is in place, please ensure that a copy is submitted to contracts@relx.com.</v>
      </c>
      <c r="C42" s="500"/>
      <c r="D42" s="500"/>
      <c r="E42" s="500"/>
      <c r="F42" s="500"/>
      <c r="G42" s="500"/>
      <c r="H42" s="500"/>
      <c r="I42" s="500"/>
      <c r="J42" s="500"/>
      <c r="K42" s="500"/>
      <c r="L42" s="45"/>
      <c r="M42" s="2" t="str">
        <f t="shared" si="2"/>
        <v/>
      </c>
    </row>
    <row r="43" spans="1:13" s="2" customFormat="1" ht="57" customHeight="1">
      <c r="A43" s="49" t="str">
        <f>IF(B43&gt;"","*","")</f>
        <v/>
      </c>
      <c r="B43" s="448" t="str">
        <f>IF(AND(Conditions!AI1&lt;1,J41='Drop Down Lists'!A2),Languages!L38,"")</f>
        <v/>
      </c>
      <c r="C43" s="448"/>
      <c r="D43" s="448"/>
      <c r="E43" s="448"/>
      <c r="F43" s="448"/>
      <c r="G43" s="448"/>
      <c r="H43" s="448"/>
      <c r="I43" s="473" t="s">
        <v>6</v>
      </c>
      <c r="J43" s="474"/>
      <c r="K43" s="474"/>
      <c r="L43" s="45"/>
      <c r="M43" s="2" t="str">
        <f t="shared" si="2"/>
        <v/>
      </c>
    </row>
    <row r="44" spans="1:13" s="2" customFormat="1" ht="54.9" customHeight="1">
      <c r="A44" s="49" t="s">
        <v>0</v>
      </c>
      <c r="B44" s="281" t="str">
        <f>Languages!L40</f>
        <v>To the best of your knowledge, do you, any member of your family, any RELX employee, or any family member of a RELX employee have or have you or they ever had a financial interest (e.g. work for, consult with, have a financial obligation, or ownership or investment interest) in the supplier?</v>
      </c>
      <c r="C44" s="281"/>
      <c r="D44" s="281"/>
      <c r="E44" s="281"/>
      <c r="F44" s="281"/>
      <c r="G44" s="281"/>
      <c r="H44" s="281"/>
      <c r="I44" s="281"/>
      <c r="J44" s="282"/>
      <c r="K44" s="176" t="s">
        <v>8</v>
      </c>
      <c r="L44" s="45"/>
      <c r="M44" s="2" t="str">
        <f t="shared" si="2"/>
        <v>*</v>
      </c>
    </row>
    <row r="45" spans="1:13" s="2" customFormat="1" ht="25.5" customHeight="1">
      <c r="A45" s="49" t="str">
        <f>IF(B45&gt;"","*","")</f>
        <v/>
      </c>
      <c r="B45" s="449" t="str">
        <f>IF(K44=Languages!L109,Languages!L41,"")</f>
        <v/>
      </c>
      <c r="C45" s="497"/>
      <c r="D45" s="497"/>
      <c r="E45" s="321"/>
      <c r="F45" s="322"/>
      <c r="G45" s="322"/>
      <c r="H45" s="322"/>
      <c r="I45" s="322"/>
      <c r="J45" s="322"/>
      <c r="K45" s="322"/>
      <c r="L45" s="323"/>
      <c r="M45" s="2" t="str">
        <f t="shared" si="2"/>
        <v/>
      </c>
    </row>
    <row r="46" spans="1:13" ht="87.6" customHeight="1" thickBot="1">
      <c r="A46" s="155"/>
      <c r="B46" s="488" t="str">
        <f>Languages!L42</f>
        <v>By submitting this form, I certify that, to the best of my knowledge, the information contained in this form is accurate and I understand that any misrepresentations on this form could subject me to disciplinary action, up to and including termination of my employment.  I further agree to promptly notify Global Accounts Payable if I become aware of any additional information that would make the information in this form inaccurate so that the information on this form can be updated.</v>
      </c>
      <c r="C46" s="488"/>
      <c r="D46" s="488"/>
      <c r="E46" s="488"/>
      <c r="F46" s="488"/>
      <c r="G46" s="488"/>
      <c r="H46" s="488"/>
      <c r="I46" s="488"/>
      <c r="J46" s="488"/>
      <c r="K46" s="488"/>
      <c r="L46" s="156"/>
      <c r="M46" s="2" t="s">
        <v>0</v>
      </c>
    </row>
    <row r="47" spans="1:13" ht="42.6" customHeight="1" thickBot="1">
      <c r="A47" s="338" t="str">
        <f>Languages!L44</f>
        <v xml:space="preserve">SUPPLIER INFORMATION (to be completed by the Supplier) </v>
      </c>
      <c r="B47" s="339"/>
      <c r="C47" s="339"/>
      <c r="D47" s="339"/>
      <c r="E47" s="339"/>
      <c r="F47" s="339"/>
      <c r="G47" s="339"/>
      <c r="H47" s="339"/>
      <c r="I47" s="339"/>
      <c r="J47" s="339"/>
      <c r="K47" s="339"/>
      <c r="L47" s="340"/>
      <c r="M47" s="1" t="s">
        <v>0</v>
      </c>
    </row>
    <row r="48" spans="1:13" ht="63.9" customHeight="1">
      <c r="A48" s="123"/>
      <c r="B48" s="486" t="str">
        <f>Languages!L4</f>
        <v>This form is used to gather information required by our financial department to pay your expenses, honoraria or other costs. RELX will not use this information for any other purpose than that mentioned above. This information MUST be received before any payment can be made. For terms and conditions we refer to the agreement made between you and your RELX legal trading entity.</v>
      </c>
      <c r="C48" s="486"/>
      <c r="D48" s="486"/>
      <c r="E48" s="486"/>
      <c r="F48" s="486"/>
      <c r="G48" s="486"/>
      <c r="H48" s="486"/>
      <c r="I48" s="486"/>
      <c r="J48" s="487"/>
      <c r="K48" s="486"/>
      <c r="L48" s="47"/>
      <c r="M48" s="1" t="s">
        <v>0</v>
      </c>
    </row>
    <row r="49" spans="1:13" ht="48" customHeight="1">
      <c r="A49" s="143" t="str">
        <f>IF(suppaytype='Drop Down Lists'!D11,"*","")</f>
        <v/>
      </c>
      <c r="B49" s="341" t="str">
        <f>Languages!L7</f>
        <v>Click on the blue box to view important RELX Global invoicing requirements. Following these requirements will reduce the risk of late payments or invoice rejections. (Not applicable to US Authors)</v>
      </c>
      <c r="C49" s="341"/>
      <c r="D49" s="341"/>
      <c r="E49" s="341"/>
      <c r="F49" s="341"/>
      <c r="G49" s="341"/>
      <c r="H49" s="341"/>
      <c r="I49" s="341"/>
      <c r="J49" s="342"/>
      <c r="K49" s="110" t="s">
        <v>10</v>
      </c>
      <c r="L49" s="46"/>
    </row>
    <row r="50" spans="1:13" ht="48" customHeight="1" thickBot="1">
      <c r="A50" s="125"/>
      <c r="B50" s="520" t="str">
        <f>Languages!L5</f>
        <v>Please complete ALL required fields and submit as directed below.</v>
      </c>
      <c r="C50" s="520"/>
      <c r="D50" s="520"/>
      <c r="E50" s="520"/>
      <c r="F50" s="520"/>
      <c r="G50" s="520"/>
      <c r="H50" s="520"/>
      <c r="I50" s="134" t="s">
        <v>11</v>
      </c>
      <c r="J50" s="498" t="str">
        <f>Languages!L9</f>
        <v>Required Field</v>
      </c>
      <c r="K50" s="499"/>
      <c r="L50" s="48"/>
      <c r="M50" s="1" t="s">
        <v>0</v>
      </c>
    </row>
    <row r="51" spans="1:13" ht="35.1" customHeight="1">
      <c r="A51" s="49" t="s">
        <v>0</v>
      </c>
      <c r="B51" s="281" t="str">
        <f>Languages!L50</f>
        <v>Supplier/Trading/Individual Name</v>
      </c>
      <c r="C51" s="281"/>
      <c r="D51" s="281"/>
      <c r="E51" s="281"/>
      <c r="F51" s="282"/>
      <c r="G51" s="501"/>
      <c r="H51" s="502"/>
      <c r="I51" s="502"/>
      <c r="J51" s="502"/>
      <c r="K51" s="502"/>
      <c r="L51" s="503"/>
      <c r="M51" s="1" t="str">
        <f>A51</f>
        <v>*</v>
      </c>
    </row>
    <row r="52" spans="1:13" ht="20.100000000000001" customHeight="1">
      <c r="A52" s="49"/>
      <c r="B52" s="287" t="str">
        <f>IF(E4="Chinese 中文","Translation Name (English)","")</f>
        <v/>
      </c>
      <c r="C52" s="287"/>
      <c r="D52" s="287"/>
      <c r="E52" s="287"/>
      <c r="F52" s="288"/>
      <c r="G52" s="285"/>
      <c r="H52" s="286"/>
      <c r="I52" s="286"/>
      <c r="J52" s="286"/>
      <c r="K52" s="286"/>
      <c r="L52" s="305"/>
      <c r="M52" s="1" t="str">
        <f>IF(D4="Chinese 中文","*","")</f>
        <v/>
      </c>
    </row>
    <row r="53" spans="1:13" ht="35.1" customHeight="1">
      <c r="A53" s="49"/>
      <c r="B53" s="287" t="str">
        <f>IF(E4="Japanese 日本語","Translation name  フリガナ (if applicable)","")</f>
        <v/>
      </c>
      <c r="C53" s="287"/>
      <c r="D53" s="287"/>
      <c r="E53" s="287"/>
      <c r="F53" s="288"/>
      <c r="G53" s="285"/>
      <c r="H53" s="286"/>
      <c r="I53" s="286"/>
      <c r="J53" s="286"/>
      <c r="K53" s="286"/>
      <c r="L53" s="305"/>
      <c r="M53" s="1" t="str">
        <f>IF(D4="Japanese 日本語","*","")</f>
        <v/>
      </c>
    </row>
    <row r="54" spans="1:13" ht="20.100000000000001" customHeight="1">
      <c r="A54" s="49"/>
      <c r="B54" s="287" t="str">
        <f>IF(E4="Korean 한국어","Translation name  상호명(한글) (if applicable)","")</f>
        <v/>
      </c>
      <c r="C54" s="287"/>
      <c r="D54" s="287"/>
      <c r="E54" s="287"/>
      <c r="F54" s="288"/>
      <c r="G54" s="285"/>
      <c r="H54" s="286"/>
      <c r="I54" s="286"/>
      <c r="J54" s="286"/>
      <c r="K54" s="286"/>
      <c r="L54" s="305"/>
      <c r="M54" s="1" t="str">
        <f>IF(D4="Korean 한국어","*","")</f>
        <v/>
      </c>
    </row>
    <row r="55" spans="1:13" ht="22.5" customHeight="1">
      <c r="A55" s="49" t="s">
        <v>0</v>
      </c>
      <c r="B55" s="287" t="str">
        <f>Languages!L51</f>
        <v>Postal Country</v>
      </c>
      <c r="C55" s="287"/>
      <c r="D55" s="287"/>
      <c r="E55" s="287"/>
      <c r="F55" s="288"/>
      <c r="G55" s="335" t="s">
        <v>12</v>
      </c>
      <c r="H55" s="335"/>
      <c r="I55" s="335"/>
      <c r="J55" s="335"/>
      <c r="K55" s="465"/>
      <c r="L55" s="46"/>
      <c r="M55" s="1" t="str">
        <f t="shared" ref="M55:M66" si="3">A55</f>
        <v>*</v>
      </c>
    </row>
    <row r="56" spans="1:13" ht="27.75" customHeight="1">
      <c r="A56" s="49" t="s">
        <v>0</v>
      </c>
      <c r="B56" s="281" t="str">
        <f>Languages!L52</f>
        <v>Country of Tax Residence</v>
      </c>
      <c r="C56" s="367"/>
      <c r="D56" s="367"/>
      <c r="E56" s="367"/>
      <c r="F56" s="368"/>
      <c r="G56" s="470" t="s">
        <v>12</v>
      </c>
      <c r="H56" s="470"/>
      <c r="I56" s="470"/>
      <c r="J56" s="470"/>
      <c r="K56" s="335"/>
      <c r="L56" s="46"/>
      <c r="M56" s="1" t="str">
        <f t="shared" si="3"/>
        <v>*</v>
      </c>
    </row>
    <row r="57" spans="1:13" ht="46.5" customHeight="1">
      <c r="A57" s="49" t="str">
        <f>IF(AND(E14='Drop Down Lists'!M3,taxcountry="Philippines"),"*","")</f>
        <v/>
      </c>
      <c r="C57" s="480" t="s">
        <v>13</v>
      </c>
      <c r="D57" s="480"/>
      <c r="E57" s="480"/>
      <c r="F57" s="480"/>
      <c r="G57" s="480"/>
      <c r="H57" s="480"/>
      <c r="I57" s="480"/>
      <c r="J57" s="480"/>
      <c r="K57" s="265"/>
      <c r="L57" s="46"/>
      <c r="M57" s="1" t="str">
        <f t="shared" si="3"/>
        <v/>
      </c>
    </row>
    <row r="58" spans="1:13" ht="27.75" customHeight="1">
      <c r="A58" s="49" t="s">
        <v>0</v>
      </c>
      <c r="B58" s="279" t="str">
        <f>Languages!L184</f>
        <v>Organization Type</v>
      </c>
      <c r="C58" s="325"/>
      <c r="D58" s="325"/>
      <c r="E58" s="325"/>
      <c r="F58" s="374"/>
      <c r="G58" s="481" t="s">
        <v>2</v>
      </c>
      <c r="H58" s="482"/>
      <c r="I58" s="482"/>
      <c r="J58" s="482"/>
      <c r="K58" s="344"/>
      <c r="L58" s="46"/>
      <c r="M58" s="1" t="str">
        <f t="shared" si="3"/>
        <v>*</v>
      </c>
    </row>
    <row r="59" spans="1:13" ht="27.75" customHeight="1">
      <c r="A59" s="49" t="s">
        <v>0</v>
      </c>
      <c r="B59" s="279" t="str">
        <f>Languages!L193</f>
        <v>Business Classification</v>
      </c>
      <c r="C59" s="279"/>
      <c r="D59" s="279"/>
      <c r="E59" s="279"/>
      <c r="F59" s="280"/>
      <c r="G59" s="343" t="s">
        <v>2</v>
      </c>
      <c r="H59" s="344"/>
      <c r="I59" s="344"/>
      <c r="J59" s="344"/>
      <c r="K59" s="344"/>
      <c r="L59" s="46"/>
      <c r="M59" s="1" t="str">
        <f t="shared" si="3"/>
        <v>*</v>
      </c>
    </row>
    <row r="60" spans="1:13" ht="27.75" customHeight="1">
      <c r="A60" s="49" t="s">
        <v>0</v>
      </c>
      <c r="B60" s="279" t="str">
        <f>Languages!L205</f>
        <v>Products and Services:</v>
      </c>
      <c r="C60" s="279"/>
      <c r="D60" s="279"/>
      <c r="E60" s="279"/>
      <c r="F60" s="279"/>
      <c r="G60" s="279"/>
      <c r="H60" s="279"/>
      <c r="I60" s="279"/>
      <c r="J60" s="279"/>
      <c r="K60" s="279"/>
      <c r="L60" s="46"/>
      <c r="M60" s="1" t="str">
        <f t="shared" si="3"/>
        <v>*</v>
      </c>
    </row>
    <row r="61" spans="1:13" ht="47.25" customHeight="1">
      <c r="A61" s="49"/>
      <c r="B61" s="270"/>
      <c r="C61" s="489" t="s">
        <v>2</v>
      </c>
      <c r="D61" s="489"/>
      <c r="E61" s="489"/>
      <c r="F61" s="489"/>
      <c r="G61" s="489"/>
      <c r="H61" s="489"/>
      <c r="I61" s="489"/>
      <c r="J61" s="489"/>
      <c r="K61" s="489"/>
      <c r="L61" s="490"/>
      <c r="M61" s="1">
        <f t="shared" si="3"/>
        <v>0</v>
      </c>
    </row>
    <row r="62" spans="1:13" ht="30.6" customHeight="1">
      <c r="A62" s="49" t="str">
        <f>IF(B62&gt;"","*","")</f>
        <v/>
      </c>
      <c r="B62" s="281" t="str">
        <f>IF(AND(D19&lt;&gt;Languages!L129,D19&lt;&gt;Languages!L131,E15="United States",G56&lt;&gt;"United States"),Languages!L45,"")</f>
        <v/>
      </c>
      <c r="C62" s="281"/>
      <c r="D62" s="281"/>
      <c r="E62" s="281"/>
      <c r="F62" s="282"/>
      <c r="G62" s="334" t="s">
        <v>2</v>
      </c>
      <c r="H62" s="335"/>
      <c r="I62" s="470"/>
      <c r="J62" s="335"/>
      <c r="K62" s="470"/>
      <c r="L62" s="46"/>
      <c r="M62" s="1" t="str">
        <f t="shared" si="3"/>
        <v/>
      </c>
    </row>
    <row r="63" spans="1:13" ht="48.6" customHeight="1">
      <c r="A63" s="49" t="str">
        <f>IF(B63&gt;"","*","")</f>
        <v/>
      </c>
      <c r="B63" s="281" t="str">
        <f>IF(AND(Conditions!E13&gt;0,taxcountry&lt;&gt;"United States",G62=Languages!L124),Languages!L46,"")</f>
        <v/>
      </c>
      <c r="C63" s="281"/>
      <c r="D63" s="281"/>
      <c r="E63" s="281"/>
      <c r="F63" s="282"/>
      <c r="G63" s="479" t="str">
        <f>Languages!L123</f>
        <v>Goods</v>
      </c>
      <c r="H63" s="297"/>
      <c r="I63" s="130"/>
      <c r="J63" s="104" t="str">
        <f>Languages!L122</f>
        <v>Services</v>
      </c>
      <c r="K63" s="130"/>
      <c r="L63" s="46"/>
      <c r="M63" s="271" t="str">
        <f t="shared" si="3"/>
        <v/>
      </c>
    </row>
    <row r="64" spans="1:13" ht="31.5" customHeight="1">
      <c r="A64" s="49" t="str">
        <f>IF(B64&gt;"","*","")</f>
        <v/>
      </c>
      <c r="B64" s="281" t="str">
        <f>IF(AND(Conditions!E13&gt;0,taxcountry&lt;&gt;"United States",D19&lt;&gt;Languages!L129,OR(G62=Languages!L122,G62=Languages!L124)),Languages!L47,"")</f>
        <v/>
      </c>
      <c r="C64" s="281"/>
      <c r="D64" s="281"/>
      <c r="E64" s="281"/>
      <c r="F64" s="282"/>
      <c r="G64" s="283" t="s">
        <v>2</v>
      </c>
      <c r="H64" s="283"/>
      <c r="I64" s="284"/>
      <c r="J64" s="283"/>
      <c r="K64" s="284"/>
      <c r="L64" s="46"/>
      <c r="M64" s="1" t="str">
        <f t="shared" si="3"/>
        <v/>
      </c>
    </row>
    <row r="65" spans="1:13" ht="33.9" customHeight="1">
      <c r="A65" s="49" t="str">
        <f>IF(B65&gt;"","*","")</f>
        <v/>
      </c>
      <c r="B65" s="281" t="str">
        <f>IF(usinout=Languages!L120,Languages!L48,"")</f>
        <v/>
      </c>
      <c r="C65" s="281"/>
      <c r="D65" s="281"/>
      <c r="E65" s="281"/>
      <c r="F65" s="282"/>
      <c r="G65" s="321"/>
      <c r="H65" s="322"/>
      <c r="I65" s="322"/>
      <c r="J65" s="322"/>
      <c r="K65" s="322"/>
      <c r="L65" s="323"/>
      <c r="M65" s="1" t="str">
        <f t="shared" si="3"/>
        <v/>
      </c>
    </row>
    <row r="66" spans="1:13" ht="20.100000000000001" customHeight="1">
      <c r="A66" s="49" t="str">
        <f>IF(B66&gt;"","*","")</f>
        <v/>
      </c>
      <c r="B66" s="287" t="str">
        <f>IF(OR(G62=Languages!L122,G62=Languages!L124),Languages!L49,"")</f>
        <v/>
      </c>
      <c r="C66" s="287"/>
      <c r="D66" s="287"/>
      <c r="E66" s="287"/>
      <c r="F66" s="288"/>
      <c r="G66" s="321"/>
      <c r="H66" s="322"/>
      <c r="I66" s="322"/>
      <c r="J66" s="322"/>
      <c r="K66" s="322"/>
      <c r="L66" s="323"/>
      <c r="M66" s="1" t="str">
        <f t="shared" si="3"/>
        <v/>
      </c>
    </row>
    <row r="67" spans="1:13" ht="35.1" customHeight="1">
      <c r="A67" s="49" t="s">
        <v>0</v>
      </c>
      <c r="B67" s="287" t="str">
        <f>Languages!L53</f>
        <v>Address Line 1</v>
      </c>
      <c r="C67" s="287"/>
      <c r="D67" s="287"/>
      <c r="E67" s="287"/>
      <c r="F67" s="288"/>
      <c r="G67" s="285"/>
      <c r="H67" s="286"/>
      <c r="I67" s="286"/>
      <c r="J67" s="286"/>
      <c r="K67" s="286"/>
      <c r="L67" s="305"/>
      <c r="M67" s="1" t="s">
        <v>0</v>
      </c>
    </row>
    <row r="68" spans="1:13" ht="35.1" customHeight="1">
      <c r="A68" s="124"/>
      <c r="B68" s="287" t="str">
        <f>Languages!L54</f>
        <v>Address Line 2</v>
      </c>
      <c r="C68" s="287"/>
      <c r="D68" s="287"/>
      <c r="E68" s="287"/>
      <c r="F68" s="288"/>
      <c r="G68" s="285"/>
      <c r="H68" s="286"/>
      <c r="I68" s="286"/>
      <c r="J68" s="286"/>
      <c r="K68" s="286"/>
      <c r="L68" s="305"/>
      <c r="M68" s="1" t="s">
        <v>0</v>
      </c>
    </row>
    <row r="69" spans="1:13" ht="35.1" customHeight="1">
      <c r="A69" s="124"/>
      <c r="B69" s="287" t="str">
        <f>Languages!L55</f>
        <v>Address Line 3</v>
      </c>
      <c r="C69" s="287"/>
      <c r="D69" s="287"/>
      <c r="E69" s="287"/>
      <c r="F69" s="288"/>
      <c r="G69" s="285"/>
      <c r="H69" s="286"/>
      <c r="I69" s="286"/>
      <c r="J69" s="286"/>
      <c r="K69" s="286"/>
      <c r="L69" s="305"/>
      <c r="M69" s="1" t="s">
        <v>0</v>
      </c>
    </row>
    <row r="70" spans="1:13" ht="35.1" customHeight="1">
      <c r="A70" s="124"/>
      <c r="B70" s="287" t="str">
        <f>Languages!L56</f>
        <v>Address Line 4</v>
      </c>
      <c r="C70" s="287"/>
      <c r="D70" s="287"/>
      <c r="E70" s="287"/>
      <c r="F70" s="288"/>
      <c r="G70" s="285"/>
      <c r="H70" s="286"/>
      <c r="I70" s="286"/>
      <c r="J70" s="286"/>
      <c r="K70" s="286"/>
      <c r="L70" s="305"/>
      <c r="M70" s="1" t="s">
        <v>0</v>
      </c>
    </row>
    <row r="71" spans="1:13" ht="26.1" customHeight="1">
      <c r="A71" s="49" t="str">
        <f>IF(B71&gt;"","*","")</f>
        <v/>
      </c>
      <c r="B71" s="287" t="str">
        <f>IF(OR(G55="Japan",G56="Japan")," 都道府県 (Prefecture name in English)","")</f>
        <v/>
      </c>
      <c r="C71" s="287"/>
      <c r="D71" s="287"/>
      <c r="E71" s="287"/>
      <c r="F71" s="288"/>
      <c r="G71" s="285" t="s">
        <v>6</v>
      </c>
      <c r="H71" s="286"/>
      <c r="I71" s="286"/>
      <c r="J71" s="286"/>
      <c r="K71" s="286"/>
      <c r="L71" s="46"/>
      <c r="M71" s="1" t="str">
        <f t="shared" ref="M71:M77" si="4">A71</f>
        <v/>
      </c>
    </row>
    <row r="72" spans="1:13" ht="35.1" customHeight="1">
      <c r="A72" s="49" t="str">
        <f>IF(B72&gt;"","*","")</f>
        <v>*</v>
      </c>
      <c r="B72" s="287" t="str">
        <f>Languages!L57</f>
        <v>City</v>
      </c>
      <c r="C72" s="287"/>
      <c r="D72" s="287"/>
      <c r="E72" s="287"/>
      <c r="F72" s="288"/>
      <c r="G72" s="285"/>
      <c r="H72" s="286"/>
      <c r="I72" s="286"/>
      <c r="J72" s="286"/>
      <c r="K72" s="286"/>
      <c r="L72" s="305"/>
      <c r="M72" s="1" t="str">
        <f t="shared" si="4"/>
        <v>*</v>
      </c>
    </row>
    <row r="73" spans="1:13" ht="35.1" customHeight="1">
      <c r="A73" s="49" t="str">
        <f>IF(B73&gt;"","*","")</f>
        <v>*</v>
      </c>
      <c r="B73" s="287" t="str">
        <f>IF(OR(country="United States",country="Australia",country="select a country…"),"State","")</f>
        <v>State</v>
      </c>
      <c r="C73" s="287"/>
      <c r="D73" s="287"/>
      <c r="E73" s="287"/>
      <c r="F73" s="288"/>
      <c r="G73" s="285"/>
      <c r="H73" s="286"/>
      <c r="I73" s="286"/>
      <c r="J73" s="286"/>
      <c r="K73" s="286"/>
      <c r="L73" s="305"/>
      <c r="M73" s="1" t="str">
        <f t="shared" si="4"/>
        <v>*</v>
      </c>
    </row>
    <row r="74" spans="1:13" ht="35.1" customHeight="1">
      <c r="A74" s="49" t="str">
        <f>IF(B74&gt;"","*","")</f>
        <v/>
      </c>
      <c r="B74" s="296" t="str">
        <f>IF(country="India","State","")</f>
        <v/>
      </c>
      <c r="C74" s="296"/>
      <c r="D74" s="296"/>
      <c r="E74" s="296"/>
      <c r="F74" s="349"/>
      <c r="G74" s="285"/>
      <c r="H74" s="286"/>
      <c r="I74" s="286"/>
      <c r="J74" s="286"/>
      <c r="K74" s="286"/>
      <c r="L74" s="305"/>
      <c r="M74" s="1" t="str">
        <f>A74</f>
        <v/>
      </c>
    </row>
    <row r="75" spans="1:13" ht="35.1" customHeight="1">
      <c r="A75" s="49" t="s">
        <v>0</v>
      </c>
      <c r="B75" s="287" t="str">
        <f>Languages!L58</f>
        <v>Postal/Zip Code</v>
      </c>
      <c r="C75" s="287"/>
      <c r="D75" s="287"/>
      <c r="E75" s="287"/>
      <c r="F75" s="288"/>
      <c r="G75" s="285"/>
      <c r="H75" s="286"/>
      <c r="I75" s="286"/>
      <c r="J75" s="286"/>
      <c r="K75" s="286"/>
      <c r="L75" s="305"/>
      <c r="M75" s="1" t="str">
        <f t="shared" si="4"/>
        <v>*</v>
      </c>
    </row>
    <row r="76" spans="1:13" ht="20.100000000000001" customHeight="1">
      <c r="A76" s="49" t="str">
        <f>IF(B76&gt;"","*","")</f>
        <v>*</v>
      </c>
      <c r="B76" s="287" t="str">
        <f>IF(OR(country="Canada",country="Spain",country="select a country…"),"Province","")</f>
        <v>Province</v>
      </c>
      <c r="C76" s="287"/>
      <c r="D76" s="287"/>
      <c r="E76" s="287"/>
      <c r="F76" s="288"/>
      <c r="G76" s="334" t="s">
        <v>2</v>
      </c>
      <c r="H76" s="335"/>
      <c r="I76" s="335"/>
      <c r="J76" s="335"/>
      <c r="K76" s="335"/>
      <c r="L76" s="46"/>
      <c r="M76" s="1" t="str">
        <f t="shared" si="4"/>
        <v>*</v>
      </c>
    </row>
    <row r="77" spans="1:13" ht="20.100000000000001" customHeight="1">
      <c r="A77" s="49" t="str">
        <f>IF(B77&gt;"","*","")</f>
        <v/>
      </c>
      <c r="B77" s="287" t="str">
        <f>IF(country="China","Province  供应商公司所在省份","")</f>
        <v/>
      </c>
      <c r="C77" s="287"/>
      <c r="D77" s="287"/>
      <c r="E77" s="287"/>
      <c r="F77" s="288"/>
      <c r="G77" s="343" t="s">
        <v>6</v>
      </c>
      <c r="H77" s="344"/>
      <c r="I77" s="344"/>
      <c r="J77" s="344"/>
      <c r="K77" s="344"/>
      <c r="L77" s="46"/>
      <c r="M77" s="1" t="str">
        <f t="shared" si="4"/>
        <v/>
      </c>
    </row>
    <row r="78" spans="1:13" ht="35.1" customHeight="1">
      <c r="A78" s="124"/>
      <c r="B78" s="281" t="str">
        <f>Languages!L59</f>
        <v xml:space="preserve">Contact Name (change if different from payable/remit to) </v>
      </c>
      <c r="C78" s="281"/>
      <c r="D78" s="281"/>
      <c r="E78" s="281"/>
      <c r="F78" s="282"/>
      <c r="G78" s="321" t="str">
        <f>IF(G51&gt;"",G51,"")</f>
        <v/>
      </c>
      <c r="H78" s="322"/>
      <c r="I78" s="322"/>
      <c r="J78" s="322"/>
      <c r="K78" s="322"/>
      <c r="L78" s="323"/>
      <c r="M78" s="1" t="s">
        <v>0</v>
      </c>
    </row>
    <row r="79" spans="1:13" ht="41.25" customHeight="1">
      <c r="A79" s="49" t="s">
        <v>0</v>
      </c>
      <c r="B79" s="279" t="str">
        <f>Languages!L176</f>
        <v>User Account Email Address</v>
      </c>
      <c r="C79" s="279"/>
      <c r="D79" s="279"/>
      <c r="E79" s="279"/>
      <c r="F79" s="280"/>
      <c r="G79" s="473"/>
      <c r="H79" s="474"/>
      <c r="I79" s="474"/>
      <c r="J79" s="474"/>
      <c r="K79" s="474"/>
      <c r="L79" s="475"/>
      <c r="M79" s="250" t="s">
        <v>0</v>
      </c>
    </row>
    <row r="80" spans="1:13" ht="41.25" customHeight="1">
      <c r="A80" s="49"/>
      <c r="B80" s="476" t="str">
        <f>Languages!L177</f>
        <v>(Will be given access to setup supplier profile and bank information in the supplier portal - when available.)</v>
      </c>
      <c r="C80" s="476"/>
      <c r="D80" s="476"/>
      <c r="E80" s="476"/>
      <c r="F80" s="476"/>
      <c r="G80" s="476"/>
      <c r="H80" s="476"/>
      <c r="I80" s="476"/>
      <c r="J80" s="476"/>
      <c r="K80" s="476"/>
      <c r="L80" s="249"/>
      <c r="M80" s="250"/>
    </row>
    <row r="81" spans="1:19" ht="45" customHeight="1">
      <c r="A81" s="49" t="s">
        <v>0</v>
      </c>
      <c r="B81" s="512" t="str">
        <f>Languages!L62</f>
        <v>Supplier/Payee Email Address for Payment Remittance</v>
      </c>
      <c r="C81" s="512"/>
      <c r="D81" s="512"/>
      <c r="E81" s="512"/>
      <c r="F81" s="513"/>
      <c r="G81" s="285"/>
      <c r="H81" s="286"/>
      <c r="I81" s="286"/>
      <c r="J81" s="286"/>
      <c r="K81" s="286"/>
      <c r="L81" s="305"/>
      <c r="M81" s="1" t="str">
        <f>A81</f>
        <v>*</v>
      </c>
    </row>
    <row r="82" spans="1:19" ht="45" customHeight="1">
      <c r="A82" s="49" t="str">
        <f>IF(I43='Drop Down Lists'!A2,"*","")</f>
        <v/>
      </c>
      <c r="B82" s="471" t="str">
        <f>Languages!L60</f>
        <v>Address for Purchase Orders (if different than Remit/Payee address):</v>
      </c>
      <c r="C82" s="471"/>
      <c r="D82" s="471"/>
      <c r="E82" s="471"/>
      <c r="F82" s="471"/>
      <c r="G82" s="471"/>
      <c r="H82" s="471"/>
      <c r="I82" s="471"/>
      <c r="J82" s="471"/>
      <c r="K82" s="471"/>
      <c r="L82" s="46"/>
      <c r="M82" s="1" t="str">
        <f>A82</f>
        <v/>
      </c>
    </row>
    <row r="83" spans="1:19" ht="19.5" customHeight="1">
      <c r="A83" s="49" t="str">
        <f>IF(I43='Drop Down Lists'!A2,"*","")</f>
        <v/>
      </c>
      <c r="B83" s="296" t="str">
        <f>Languages!L53</f>
        <v>Address Line 1</v>
      </c>
      <c r="C83" s="296"/>
      <c r="D83" s="296"/>
      <c r="E83" s="296"/>
      <c r="F83" s="349"/>
      <c r="G83" s="346"/>
      <c r="H83" s="347"/>
      <c r="I83" s="347"/>
      <c r="J83" s="347"/>
      <c r="K83" s="347"/>
      <c r="L83" s="348"/>
      <c r="M83" s="1" t="str">
        <f>A82</f>
        <v/>
      </c>
    </row>
    <row r="84" spans="1:19" ht="19.5" customHeight="1">
      <c r="A84" s="49" t="str">
        <f>IF(I43='Drop Down Lists'!A2,"*","")</f>
        <v/>
      </c>
      <c r="B84" s="296" t="str">
        <f>Languages!L54</f>
        <v>Address Line 2</v>
      </c>
      <c r="C84" s="296"/>
      <c r="D84" s="296"/>
      <c r="E84" s="296"/>
      <c r="F84" s="349"/>
      <c r="G84" s="346"/>
      <c r="H84" s="347"/>
      <c r="I84" s="347"/>
      <c r="J84" s="347"/>
      <c r="K84" s="347"/>
      <c r="L84" s="348"/>
      <c r="M84" s="1" t="str">
        <f>A82</f>
        <v/>
      </c>
    </row>
    <row r="85" spans="1:19" ht="19.5" customHeight="1">
      <c r="A85" s="49" t="str">
        <f>IF(I43='Drop Down Lists'!A2,"*","")</f>
        <v/>
      </c>
      <c r="B85" s="296" t="str">
        <f>Languages!L55</f>
        <v>Address Line 3</v>
      </c>
      <c r="C85" s="296"/>
      <c r="D85" s="296"/>
      <c r="E85" s="296"/>
      <c r="F85" s="349"/>
      <c r="G85" s="346"/>
      <c r="H85" s="347"/>
      <c r="I85" s="347"/>
      <c r="J85" s="347"/>
      <c r="K85" s="347"/>
      <c r="L85" s="348"/>
      <c r="M85" s="1" t="str">
        <f>A82</f>
        <v/>
      </c>
    </row>
    <row r="86" spans="1:19" ht="19.5" customHeight="1">
      <c r="A86" s="49" t="str">
        <f>IF(I43='Drop Down Lists'!A2,"*","")</f>
        <v/>
      </c>
      <c r="B86" s="296" t="str">
        <f>Languages!L56</f>
        <v>Address Line 4</v>
      </c>
      <c r="C86" s="296"/>
      <c r="D86" s="296"/>
      <c r="E86" s="296"/>
      <c r="F86" s="349"/>
      <c r="G86" s="346"/>
      <c r="H86" s="347"/>
      <c r="I86" s="347"/>
      <c r="J86" s="347"/>
      <c r="K86" s="347"/>
      <c r="L86" s="348"/>
      <c r="M86" s="1" t="str">
        <f>A82</f>
        <v/>
      </c>
    </row>
    <row r="87" spans="1:19" ht="19.5" customHeight="1">
      <c r="A87" s="49" t="str">
        <f>IF(I43='Drop Down Lists'!A2,"*","")</f>
        <v/>
      </c>
      <c r="B87" s="296" t="str">
        <f>Languages!L57</f>
        <v>City</v>
      </c>
      <c r="C87" s="296"/>
      <c r="D87" s="296"/>
      <c r="E87" s="296"/>
      <c r="F87" s="349"/>
      <c r="G87" s="346"/>
      <c r="H87" s="347"/>
      <c r="I87" s="347"/>
      <c r="J87" s="347"/>
      <c r="K87" s="347"/>
      <c r="L87" s="348"/>
      <c r="M87" s="1" t="str">
        <f>A82</f>
        <v/>
      </c>
    </row>
    <row r="88" spans="1:19" ht="20.100000000000001" customHeight="1">
      <c r="A88" s="49" t="str">
        <f>IF(I43='Drop Down Lists'!A2,"*","")</f>
        <v/>
      </c>
      <c r="B88" s="296" t="str">
        <f>IF(OR(country="United States",country="select a country…"),"State","")</f>
        <v>State</v>
      </c>
      <c r="C88" s="296"/>
      <c r="D88" s="296"/>
      <c r="E88" s="296"/>
      <c r="F88" s="349"/>
      <c r="G88" s="346"/>
      <c r="H88" s="347"/>
      <c r="I88" s="347"/>
      <c r="J88" s="347"/>
      <c r="K88" s="347"/>
      <c r="L88" s="348"/>
      <c r="M88" s="1" t="str">
        <f>A82</f>
        <v/>
      </c>
    </row>
    <row r="89" spans="1:19" ht="19.5" customHeight="1">
      <c r="A89" s="49" t="str">
        <f>IF(I43='Drop Down Lists'!A2,"*","")</f>
        <v/>
      </c>
      <c r="B89" s="296" t="str">
        <f>Languages!L58</f>
        <v>Postal/Zip Code</v>
      </c>
      <c r="C89" s="296"/>
      <c r="D89" s="296"/>
      <c r="E89" s="296"/>
      <c r="F89" s="349"/>
      <c r="G89" s="346"/>
      <c r="H89" s="347"/>
      <c r="I89" s="347"/>
      <c r="J89" s="347"/>
      <c r="K89" s="347"/>
      <c r="L89" s="348"/>
      <c r="M89" s="1" t="str">
        <f>A82</f>
        <v/>
      </c>
    </row>
    <row r="90" spans="1:19" ht="20.100000000000001" customHeight="1">
      <c r="A90" s="121" t="str">
        <f>IF(B90&gt;"","*","")</f>
        <v>*</v>
      </c>
      <c r="B90" s="287" t="str">
        <f>IF(OR(country="Canada",country="Spain",country="select a country…"),"Province","")</f>
        <v>Province</v>
      </c>
      <c r="C90" s="287"/>
      <c r="D90" s="287"/>
      <c r="E90" s="287"/>
      <c r="F90" s="288"/>
      <c r="G90" s="334" t="s">
        <v>2</v>
      </c>
      <c r="H90" s="335"/>
      <c r="I90" s="335"/>
      <c r="J90" s="335"/>
      <c r="K90" s="335"/>
      <c r="L90" s="46"/>
      <c r="M90" s="1" t="str">
        <f>A82</f>
        <v/>
      </c>
    </row>
    <row r="91" spans="1:19" ht="41.1" customHeight="1">
      <c r="A91" s="49" t="str">
        <f>IF(I43='Drop Down Lists'!A2,"*","")</f>
        <v/>
      </c>
      <c r="B91" s="296" t="str">
        <f>Languages!L61</f>
        <v>Supplier/Payee Email Address for Purchase Orders</v>
      </c>
      <c r="C91" s="296"/>
      <c r="D91" s="296"/>
      <c r="E91" s="296"/>
      <c r="F91" s="349"/>
      <c r="G91" s="346"/>
      <c r="H91" s="347"/>
      <c r="I91" s="347"/>
      <c r="J91" s="347"/>
      <c r="K91" s="347"/>
      <c r="L91" s="348"/>
      <c r="M91" s="1" t="str">
        <f>A82</f>
        <v/>
      </c>
    </row>
    <row r="92" spans="1:19" ht="35.1" customHeight="1">
      <c r="A92" s="124"/>
      <c r="B92" s="281" t="str">
        <f>Languages!L63</f>
        <v xml:space="preserve">Additional Contact Email (if applicable) </v>
      </c>
      <c r="C92" s="281"/>
      <c r="D92" s="281"/>
      <c r="E92" s="281"/>
      <c r="F92" s="282"/>
      <c r="G92" s="285"/>
      <c r="H92" s="286"/>
      <c r="I92" s="286"/>
      <c r="J92" s="286"/>
      <c r="K92" s="286"/>
      <c r="L92" s="305"/>
      <c r="M92" s="1" t="s">
        <v>0</v>
      </c>
    </row>
    <row r="93" spans="1:19" ht="35.1" customHeight="1">
      <c r="A93" s="49" t="s">
        <v>0</v>
      </c>
      <c r="B93" s="281" t="str">
        <f>Languages!L64</f>
        <v>Supplier/Payee Phone Number</v>
      </c>
      <c r="C93" s="281"/>
      <c r="D93" s="281"/>
      <c r="E93" s="281"/>
      <c r="F93" s="281"/>
      <c r="G93" s="477" t="str">
        <f>IF(country="select a country…","",CONCATENATE("+",VLOOKUP(country,'Drop Down Lists'!$U$1:$V$254,2,FALSE)))</f>
        <v/>
      </c>
      <c r="H93" s="478"/>
      <c r="I93" s="334"/>
      <c r="J93" s="335"/>
      <c r="K93" s="335"/>
      <c r="L93" s="345"/>
      <c r="M93" s="1" t="str">
        <f t="shared" ref="M93:M112" si="5">A93</f>
        <v>*</v>
      </c>
    </row>
    <row r="94" spans="1:19" ht="35.1" customHeight="1">
      <c r="A94" s="121" t="str">
        <f>IF(B94&gt;"","*","")</f>
        <v/>
      </c>
      <c r="B94" s="296" t="str">
        <f>IF(OR(D4="Chinese 中文",D4="Japanese 日本語"),Languages!L65,"")</f>
        <v/>
      </c>
      <c r="C94" s="296"/>
      <c r="D94" s="296"/>
      <c r="E94" s="296"/>
      <c r="F94" s="296"/>
      <c r="G94" s="297"/>
      <c r="H94" s="297"/>
      <c r="I94" s="297"/>
      <c r="J94" s="297"/>
      <c r="K94" s="297"/>
      <c r="L94" s="298"/>
      <c r="M94" s="1" t="str">
        <f t="shared" si="5"/>
        <v/>
      </c>
    </row>
    <row r="95" spans="1:19" ht="35.1" customHeight="1">
      <c r="A95" s="160" t="str">
        <f>IF(B95&gt;"","+","")</f>
        <v/>
      </c>
      <c r="B95" s="293" t="str">
        <f>IF(Conditions!J1&gt;0,"Local Language Supplier Name","")</f>
        <v/>
      </c>
      <c r="C95" s="293"/>
      <c r="D95" s="293"/>
      <c r="E95" s="293"/>
      <c r="F95" s="294"/>
      <c r="G95" s="299"/>
      <c r="H95" s="300"/>
      <c r="I95" s="300"/>
      <c r="J95" s="300"/>
      <c r="K95" s="300"/>
      <c r="L95" s="301"/>
      <c r="M95" s="1" t="str">
        <f t="shared" si="5"/>
        <v/>
      </c>
      <c r="N95" s="308" t="str">
        <f>Languages!L66</f>
        <v>If address change only, skip to row 166.</v>
      </c>
      <c r="O95" s="309"/>
      <c r="P95" s="309"/>
      <c r="Q95" s="309"/>
      <c r="R95" s="309"/>
      <c r="S95" s="310"/>
    </row>
    <row r="96" spans="1:19" ht="20.100000000000001" customHeight="1">
      <c r="A96" s="120" t="str">
        <f t="shared" ref="A96:A112" si="6">IF(B96&gt;"","*","")</f>
        <v/>
      </c>
      <c r="B96" s="316" t="str">
        <f>IF(AND(G64="Within the United States",Conditions!E13&gt;0),Languages!L67,"")</f>
        <v/>
      </c>
      <c r="C96" s="316"/>
      <c r="D96" s="316"/>
      <c r="E96" s="316"/>
      <c r="F96" s="317"/>
      <c r="G96" s="302"/>
      <c r="H96" s="303"/>
      <c r="I96" s="303"/>
      <c r="J96" s="303"/>
      <c r="K96" s="303"/>
      <c r="L96" s="304"/>
      <c r="M96" s="1" t="str">
        <f t="shared" si="5"/>
        <v/>
      </c>
    </row>
    <row r="97" spans="1:13" ht="20.100000000000001" customHeight="1">
      <c r="A97" s="49" t="str">
        <f t="shared" si="6"/>
        <v/>
      </c>
      <c r="B97" s="296" t="str">
        <f>IF(AND(G64="Outside the United States",Conditions!E13&gt;0),Languages!L68,"")</f>
        <v/>
      </c>
      <c r="C97" s="296"/>
      <c r="D97" s="296"/>
      <c r="E97" s="296"/>
      <c r="F97" s="349"/>
      <c r="G97" s="285"/>
      <c r="H97" s="286"/>
      <c r="I97" s="286"/>
      <c r="J97" s="286"/>
      <c r="K97" s="286"/>
      <c r="L97" s="305"/>
      <c r="M97" s="1" t="str">
        <f t="shared" si="5"/>
        <v/>
      </c>
    </row>
    <row r="98" spans="1:13" ht="20.100000000000001" customHeight="1">
      <c r="A98" s="49" t="str">
        <f t="shared" si="6"/>
        <v/>
      </c>
      <c r="B98" s="287" t="str">
        <f>IF(taxcountry="United States","Federal Tax ID (EIN)","")</f>
        <v/>
      </c>
      <c r="C98" s="287"/>
      <c r="D98" s="287"/>
      <c r="E98" s="287"/>
      <c r="F98" s="288"/>
      <c r="G98" s="285"/>
      <c r="H98" s="286"/>
      <c r="I98" s="286"/>
      <c r="J98" s="286"/>
      <c r="K98" s="286"/>
      <c r="L98" s="305"/>
      <c r="M98" s="1" t="str">
        <f t="shared" si="5"/>
        <v/>
      </c>
    </row>
    <row r="99" spans="1:13" ht="20.100000000000001" customHeight="1">
      <c r="A99" s="49" t="str">
        <f>IF(B99&gt;"","*","")</f>
        <v/>
      </c>
      <c r="B99" s="287" t="str">
        <f>IF(E15="China","统一社会信用代码","")</f>
        <v/>
      </c>
      <c r="C99" s="287"/>
      <c r="D99" s="287"/>
      <c r="E99" s="287"/>
      <c r="F99" s="288"/>
      <c r="G99" s="285"/>
      <c r="H99" s="286"/>
      <c r="I99" s="286"/>
      <c r="J99" s="286"/>
      <c r="K99" s="286"/>
      <c r="L99" s="305"/>
      <c r="M99" s="1" t="str">
        <f t="shared" si="5"/>
        <v/>
      </c>
    </row>
    <row r="100" spans="1:13" ht="20.100000000000001" customHeight="1">
      <c r="A100" s="121" t="str">
        <f>IF(B100&gt;"","*","")</f>
        <v/>
      </c>
      <c r="B100" s="287" t="str">
        <f>IF(E15="China","地址","")</f>
        <v/>
      </c>
      <c r="C100" s="287"/>
      <c r="D100" s="287"/>
      <c r="E100" s="287"/>
      <c r="F100" s="288"/>
      <c r="G100" s="285"/>
      <c r="H100" s="286"/>
      <c r="I100" s="286"/>
      <c r="J100" s="286"/>
      <c r="K100" s="286"/>
      <c r="L100" s="305"/>
      <c r="M100" s="1" t="str">
        <f t="shared" si="5"/>
        <v/>
      </c>
    </row>
    <row r="101" spans="1:13" ht="20.100000000000001" customHeight="1">
      <c r="A101" s="121" t="str">
        <f>IF(B101&gt;"","*","")</f>
        <v/>
      </c>
      <c r="B101" s="287" t="str">
        <f>IF(E15="China","开户银行和账号","")</f>
        <v/>
      </c>
      <c r="C101" s="287"/>
      <c r="D101" s="287"/>
      <c r="E101" s="287"/>
      <c r="F101" s="288"/>
      <c r="G101" s="285"/>
      <c r="H101" s="286"/>
      <c r="I101" s="286"/>
      <c r="J101" s="286"/>
      <c r="K101" s="286"/>
      <c r="L101" s="305"/>
      <c r="M101" s="1" t="str">
        <f t="shared" si="5"/>
        <v/>
      </c>
    </row>
    <row r="102" spans="1:13" ht="20.100000000000001" customHeight="1">
      <c r="A102" s="121" t="str">
        <f>IF(B102&gt;"","*","")</f>
        <v/>
      </c>
      <c r="B102" s="287" t="str">
        <f>IF(E15="China","电话","")</f>
        <v/>
      </c>
      <c r="C102" s="287"/>
      <c r="D102" s="287"/>
      <c r="E102" s="287"/>
      <c r="F102" s="288"/>
      <c r="G102" s="285"/>
      <c r="H102" s="286"/>
      <c r="I102" s="286"/>
      <c r="J102" s="286"/>
      <c r="K102" s="286"/>
      <c r="L102" s="305"/>
      <c r="M102" s="1" t="str">
        <f t="shared" si="5"/>
        <v/>
      </c>
    </row>
    <row r="103" spans="1:13" ht="32.4" customHeight="1">
      <c r="A103" s="121" t="str">
        <f>IF(B103&gt;"","*","")</f>
        <v/>
      </c>
      <c r="B103" s="281" t="str">
        <f>IF(E15="Korea","VAT number / GST number (if applicable) 사업자번호/고유번호/주민등록번호","")</f>
        <v/>
      </c>
      <c r="C103" s="281"/>
      <c r="D103" s="281"/>
      <c r="E103" s="281"/>
      <c r="F103" s="282"/>
      <c r="G103" s="285"/>
      <c r="H103" s="286"/>
      <c r="I103" s="286"/>
      <c r="J103" s="286"/>
      <c r="K103" s="286"/>
      <c r="L103" s="305"/>
      <c r="M103" s="1" t="str">
        <f t="shared" si="5"/>
        <v/>
      </c>
    </row>
    <row r="104" spans="1:13" ht="20.100000000000001" customHeight="1">
      <c r="A104" s="49" t="str">
        <f t="shared" si="6"/>
        <v/>
      </c>
      <c r="B104" s="287" t="str">
        <f>IF(OR(taxcountry="United Kingdom",taxcountry="Russia",taxcountry="Poland"),"VAT Number","")</f>
        <v/>
      </c>
      <c r="C104" s="287"/>
      <c r="D104" s="287"/>
      <c r="E104" s="287"/>
      <c r="F104" s="288"/>
      <c r="G104" s="285"/>
      <c r="H104" s="286"/>
      <c r="I104" s="286"/>
      <c r="J104" s="286"/>
      <c r="K104" s="286"/>
      <c r="L104" s="305"/>
      <c r="M104" s="1" t="str">
        <f t="shared" si="5"/>
        <v/>
      </c>
    </row>
    <row r="105" spans="1:13" ht="20.100000000000001" customHeight="1">
      <c r="A105" s="49" t="str">
        <f t="shared" si="6"/>
        <v/>
      </c>
      <c r="B105" s="296" t="str">
        <f>IF(taxcountry="Russia","Tax Identification Number (INN)","")</f>
        <v/>
      </c>
      <c r="C105" s="296"/>
      <c r="D105" s="296"/>
      <c r="E105" s="296"/>
      <c r="F105" s="349"/>
      <c r="G105" s="346"/>
      <c r="H105" s="347"/>
      <c r="I105" s="347"/>
      <c r="J105" s="347"/>
      <c r="K105" s="347"/>
      <c r="L105" s="348"/>
      <c r="M105" s="1" t="str">
        <f t="shared" si="5"/>
        <v/>
      </c>
    </row>
    <row r="106" spans="1:13" ht="20.100000000000001" customHeight="1">
      <c r="A106" s="49" t="str">
        <f t="shared" si="6"/>
        <v/>
      </c>
      <c r="B106" s="306" t="str">
        <f>IF(taxcountry="Brazil","CNPJ or CPF","")</f>
        <v/>
      </c>
      <c r="C106" s="306"/>
      <c r="D106" s="306"/>
      <c r="E106" s="483"/>
      <c r="F106" s="483"/>
      <c r="G106" s="483"/>
      <c r="H106" s="483"/>
      <c r="I106" s="484"/>
      <c r="J106" s="484"/>
      <c r="K106" s="484"/>
      <c r="L106" s="485"/>
      <c r="M106" s="1" t="str">
        <f>A106</f>
        <v/>
      </c>
    </row>
    <row r="107" spans="1:13" ht="38.25" customHeight="1">
      <c r="A107" s="49" t="str">
        <f t="shared" si="6"/>
        <v/>
      </c>
      <c r="B107" s="279" t="str">
        <f>IF(OR(taxcountry="Australia",taxcountry="New Zealand"),"Are you GST/VAT registered?","")</f>
        <v/>
      </c>
      <c r="C107" s="279"/>
      <c r="D107" s="279"/>
      <c r="E107" s="200" t="s">
        <v>8</v>
      </c>
      <c r="F107" s="295" t="str">
        <f>IF(E107=Languages!L109,"If Yes, please provide GST/VAT number:","")</f>
        <v/>
      </c>
      <c r="G107" s="295" t="str">
        <f>IF(L104=Languages!Q108,"Please provide your GST/VAT number","")</f>
        <v>Please provide your GST/VAT number</v>
      </c>
      <c r="H107" s="295" t="str">
        <f>IF(M104=Languages!R108,"Please provide your GST/VAT number","")</f>
        <v>Please provide your GST/VAT number</v>
      </c>
      <c r="I107" s="328"/>
      <c r="J107" s="329"/>
      <c r="K107" s="329"/>
      <c r="L107" s="330"/>
      <c r="M107" s="1" t="str">
        <f t="shared" si="5"/>
        <v/>
      </c>
    </row>
    <row r="108" spans="1:13" ht="29.25" customHeight="1">
      <c r="A108" s="49" t="str">
        <f t="shared" si="6"/>
        <v/>
      </c>
      <c r="B108" s="456" t="str">
        <f>IF(AND(I107=blank,taxcountry&lt;&gt;"New Zealand",ledger1="New Zealand"),"A New Zealand Inland Revenue IR 330 form is required. Please provide your IR 330 form.","")</f>
        <v/>
      </c>
      <c r="C108" s="456"/>
      <c r="D108" s="456"/>
      <c r="E108" s="456"/>
      <c r="F108" s="456"/>
      <c r="G108" s="456"/>
      <c r="H108" s="456"/>
      <c r="I108" s="472"/>
      <c r="J108" s="472"/>
      <c r="K108" s="472"/>
      <c r="L108" s="181"/>
      <c r="M108" s="1" t="str">
        <f t="shared" si="5"/>
        <v/>
      </c>
    </row>
    <row r="109" spans="1:13" ht="33" customHeight="1">
      <c r="A109" s="49" t="str">
        <f>IF(B109&gt;"","*","")</f>
        <v/>
      </c>
      <c r="B109" s="279" t="str">
        <f>IF(taxcountry="Australia","Are you ABN registered?","")</f>
        <v/>
      </c>
      <c r="C109" s="279"/>
      <c r="D109" s="279"/>
      <c r="E109" s="200" t="s">
        <v>8</v>
      </c>
      <c r="F109" s="295" t="str">
        <f>IF(E109=Languages!L109,"If Yes, please provide ABN number:","")</f>
        <v/>
      </c>
      <c r="G109" s="295" t="str">
        <f>IF(L108=Languages!Q110,"Please provide your GST/VAT number","")</f>
        <v>Please provide your GST/VAT number</v>
      </c>
      <c r="H109" s="295" t="str">
        <f>IF(M108=Languages!R110,"Please provide your GST/VAT number","")</f>
        <v>Please provide your GST/VAT number</v>
      </c>
      <c r="I109" s="328"/>
      <c r="J109" s="329"/>
      <c r="K109" s="329"/>
      <c r="L109" s="330"/>
      <c r="M109" s="1" t="str">
        <f>A109</f>
        <v/>
      </c>
    </row>
    <row r="110" spans="1:13" ht="33" customHeight="1">
      <c r="A110" s="49" t="str">
        <f>IF(AND(E14='Drop Down Lists'!M3,ledger1="Philippines",taxcountry="Philippines"),"*","")</f>
        <v/>
      </c>
      <c r="B110" s="260" t="b">
        <v>0</v>
      </c>
      <c r="C110" s="324" t="s">
        <v>14</v>
      </c>
      <c r="D110" s="325"/>
      <c r="E110" s="325"/>
      <c r="F110" s="325"/>
      <c r="G110" s="325"/>
      <c r="H110" s="325"/>
      <c r="I110" s="325"/>
      <c r="J110" s="325"/>
      <c r="K110" s="325"/>
      <c r="L110" s="263"/>
      <c r="M110" s="1" t="str">
        <f t="shared" ref="M110:M111" si="7">A110</f>
        <v/>
      </c>
    </row>
    <row r="111" spans="1:13" ht="33" customHeight="1">
      <c r="A111" s="49" t="str">
        <f>IF(AND(E14='Drop Down Lists'!M3,ledger1="Philippines",taxcountry="Philippines"),"*","")</f>
        <v/>
      </c>
      <c r="B111" s="260" t="b">
        <v>0</v>
      </c>
      <c r="C111" s="326" t="s">
        <v>15</v>
      </c>
      <c r="D111" s="279"/>
      <c r="E111" s="279"/>
      <c r="F111" s="279"/>
      <c r="G111" s="279"/>
      <c r="H111" s="279"/>
      <c r="I111" s="279"/>
      <c r="J111" s="279"/>
      <c r="K111" s="279"/>
      <c r="L111" s="264"/>
      <c r="M111" s="1" t="str">
        <f t="shared" si="7"/>
        <v/>
      </c>
    </row>
    <row r="112" spans="1:13" ht="20.100000000000001" customHeight="1">
      <c r="A112" s="49" t="str">
        <f t="shared" si="6"/>
        <v/>
      </c>
      <c r="B112" s="287" t="str">
        <f>IF(taxcountry="Germany",Languages!L69,"")</f>
        <v/>
      </c>
      <c r="C112" s="287"/>
      <c r="D112" s="287"/>
      <c r="E112" s="287"/>
      <c r="F112" s="288"/>
      <c r="G112" s="334" t="s">
        <v>2</v>
      </c>
      <c r="H112" s="335"/>
      <c r="I112" s="465"/>
      <c r="J112" s="465"/>
      <c r="K112" s="465"/>
      <c r="L112" s="164"/>
      <c r="M112" s="1" t="str">
        <f t="shared" si="5"/>
        <v/>
      </c>
    </row>
    <row r="113" spans="1:13" ht="20.100000000000001" customHeight="1">
      <c r="A113" s="49"/>
      <c r="B113" s="287" t="str">
        <f>IF(B112&gt;"","VAT # / German Tax ID","")</f>
        <v/>
      </c>
      <c r="C113" s="287"/>
      <c r="D113" s="287"/>
      <c r="E113" s="287"/>
      <c r="F113" s="288"/>
      <c r="G113" s="285"/>
      <c r="H113" s="286"/>
      <c r="I113" s="286"/>
      <c r="J113" s="286"/>
      <c r="K113" s="286"/>
      <c r="L113" s="305"/>
      <c r="M113" s="1" t="str">
        <f>A112</f>
        <v/>
      </c>
    </row>
    <row r="114" spans="1:13" ht="20.100000000000001" customHeight="1">
      <c r="A114" s="49" t="str">
        <f>IF(B114&gt;"","","*")</f>
        <v/>
      </c>
      <c r="B114" s="456" t="s">
        <v>16</v>
      </c>
      <c r="C114" s="456"/>
      <c r="D114" s="456"/>
      <c r="E114" s="456"/>
      <c r="F114" s="457"/>
      <c r="G114" s="346"/>
      <c r="H114" s="347"/>
      <c r="I114" s="347"/>
      <c r="J114" s="347"/>
      <c r="K114" s="347"/>
      <c r="L114" s="348"/>
      <c r="M114" s="1" t="str">
        <f>A114</f>
        <v/>
      </c>
    </row>
    <row r="115" spans="1:13" ht="20.100000000000001" customHeight="1">
      <c r="A115" s="49" t="str">
        <f t="shared" ref="A115:A118" si="8">IF(B115&gt;"","","*")</f>
        <v/>
      </c>
      <c r="B115" s="458" t="s">
        <v>17</v>
      </c>
      <c r="C115" s="458"/>
      <c r="D115" s="458"/>
      <c r="E115" s="458"/>
      <c r="F115" s="459"/>
      <c r="G115" s="346"/>
      <c r="H115" s="347"/>
      <c r="I115" s="347"/>
      <c r="J115" s="347"/>
      <c r="K115" s="347"/>
      <c r="L115" s="348"/>
      <c r="M115" s="1" t="str">
        <f t="shared" ref="M115:M118" si="9">A115</f>
        <v/>
      </c>
    </row>
    <row r="116" spans="1:13" ht="20.100000000000001" customHeight="1">
      <c r="A116" s="49" t="str">
        <f t="shared" si="8"/>
        <v/>
      </c>
      <c r="B116" s="458" t="s">
        <v>18</v>
      </c>
      <c r="C116" s="458"/>
      <c r="D116" s="458"/>
      <c r="E116" s="458"/>
      <c r="F116" s="459"/>
      <c r="G116" s="346"/>
      <c r="H116" s="347"/>
      <c r="I116" s="347"/>
      <c r="J116" s="347"/>
      <c r="K116" s="347"/>
      <c r="L116" s="348"/>
      <c r="M116" s="1" t="str">
        <f t="shared" si="9"/>
        <v/>
      </c>
    </row>
    <row r="117" spans="1:13" ht="20.100000000000001" customHeight="1">
      <c r="A117" s="49" t="str">
        <f t="shared" si="8"/>
        <v/>
      </c>
      <c r="B117" s="458" t="s">
        <v>19</v>
      </c>
      <c r="C117" s="458"/>
      <c r="D117" s="458"/>
      <c r="E117" s="458"/>
      <c r="F117" s="459"/>
      <c r="G117" s="346"/>
      <c r="H117" s="347"/>
      <c r="I117" s="347"/>
      <c r="J117" s="347"/>
      <c r="K117" s="347"/>
      <c r="L117" s="348"/>
      <c r="M117" s="1" t="str">
        <f t="shared" si="9"/>
        <v/>
      </c>
    </row>
    <row r="118" spans="1:13" ht="31.5" customHeight="1">
      <c r="A118" s="49" t="str">
        <f t="shared" si="8"/>
        <v/>
      </c>
      <c r="B118" s="279" t="s">
        <v>20</v>
      </c>
      <c r="C118" s="279"/>
      <c r="D118" s="279"/>
      <c r="E118" s="279"/>
      <c r="F118" s="279"/>
      <c r="G118" s="279"/>
      <c r="H118" s="279"/>
      <c r="I118" s="280"/>
      <c r="J118" s="417" t="s">
        <v>8</v>
      </c>
      <c r="K118" s="418"/>
      <c r="L118" s="185"/>
      <c r="M118" s="1" t="str">
        <f t="shared" si="9"/>
        <v/>
      </c>
    </row>
    <row r="119" spans="1:13" ht="20.100000000000001" customHeight="1">
      <c r="A119" s="49" t="str">
        <f>IF(B119&gt;"","*","")</f>
        <v/>
      </c>
      <c r="B119" s="456" t="str">
        <f>IF(taxcountry="Austria",Languages!L252,"")</f>
        <v/>
      </c>
      <c r="C119" s="456"/>
      <c r="D119" s="456"/>
      <c r="E119" s="456"/>
      <c r="F119" s="457"/>
      <c r="G119" s="257"/>
      <c r="H119" s="258"/>
      <c r="I119" s="258"/>
      <c r="J119" s="258"/>
      <c r="K119" s="258"/>
      <c r="L119" s="185"/>
      <c r="M119" s="1" t="str">
        <f>A119</f>
        <v/>
      </c>
    </row>
    <row r="120" spans="1:13" ht="39.9" customHeight="1">
      <c r="A120" s="49" t="str">
        <f t="shared" ref="A120:A124" si="10">IF(B120&gt;"","*","")</f>
        <v/>
      </c>
      <c r="B120" s="448" t="str">
        <f>IF(AND(Conditions!E3&gt;0,taxcountry="Canada"),Languages!L144,"")</f>
        <v/>
      </c>
      <c r="C120" s="448"/>
      <c r="D120" s="448"/>
      <c r="E120" s="448"/>
      <c r="F120" s="449"/>
      <c r="G120" s="285"/>
      <c r="H120" s="286"/>
      <c r="I120" s="286"/>
      <c r="J120" s="286"/>
      <c r="K120" s="286"/>
      <c r="L120" s="305"/>
      <c r="M120" s="1" t="str">
        <f t="shared" ref="M120:M128" si="11">A120</f>
        <v/>
      </c>
    </row>
    <row r="121" spans="1:13" ht="30" customHeight="1">
      <c r="A121" s="49" t="str">
        <f t="shared" si="10"/>
        <v/>
      </c>
      <c r="B121" s="281" t="str">
        <f>IF(taxcountry="Canada",Languages!L145,"")</f>
        <v/>
      </c>
      <c r="C121" s="281"/>
      <c r="D121" s="281"/>
      <c r="E121" s="281"/>
      <c r="F121" s="282"/>
      <c r="G121" s="285" t="s">
        <v>21</v>
      </c>
      <c r="H121" s="450"/>
      <c r="I121" s="83" t="s">
        <v>22</v>
      </c>
      <c r="J121" s="335" t="s">
        <v>23</v>
      </c>
      <c r="K121" s="335"/>
      <c r="L121" s="46"/>
      <c r="M121" s="1" t="str">
        <f t="shared" si="11"/>
        <v/>
      </c>
    </row>
    <row r="122" spans="1:13" ht="30" customHeight="1">
      <c r="A122" s="49" t="str">
        <f t="shared" si="10"/>
        <v/>
      </c>
      <c r="B122" s="281" t="str">
        <f>IF(OR(G121='Drop Down Lists'!AA3,I121='Drop Down Lists'!AB3,J121='Drop Down Lists'!AC3),Languages!L146,"")</f>
        <v/>
      </c>
      <c r="C122" s="281"/>
      <c r="D122" s="281"/>
      <c r="E122" s="281"/>
      <c r="F122" s="282"/>
      <c r="G122" s="285"/>
      <c r="H122" s="286"/>
      <c r="I122" s="286"/>
      <c r="J122" s="286"/>
      <c r="K122" s="286"/>
      <c r="L122" s="305"/>
      <c r="M122" s="1" t="str">
        <f t="shared" si="11"/>
        <v/>
      </c>
    </row>
    <row r="123" spans="1:13" ht="39.9" customHeight="1">
      <c r="A123" s="49" t="str">
        <f t="shared" si="10"/>
        <v/>
      </c>
      <c r="B123" s="281" t="str">
        <f>IF(taxcountry="Canada",Languages!L147,"")</f>
        <v/>
      </c>
      <c r="C123" s="281"/>
      <c r="D123" s="281"/>
      <c r="E123" s="281"/>
      <c r="F123" s="282"/>
      <c r="G123" s="285"/>
      <c r="H123" s="286"/>
      <c r="I123" s="286"/>
      <c r="J123" s="286"/>
      <c r="K123" s="286"/>
      <c r="L123" s="305"/>
      <c r="M123" s="1" t="str">
        <f t="shared" si="11"/>
        <v/>
      </c>
    </row>
    <row r="124" spans="1:13" ht="20.100000000000001" customHeight="1">
      <c r="A124" s="49" t="str">
        <f t="shared" si="10"/>
        <v/>
      </c>
      <c r="B124" s="287" t="str">
        <f>IF(AND(taxcountry="India",D19&lt;&gt;Languages!L129),"Constitution of business","")</f>
        <v/>
      </c>
      <c r="C124" s="287"/>
      <c r="D124" s="287"/>
      <c r="E124" s="287"/>
      <c r="F124" s="288"/>
      <c r="G124" s="335" t="s">
        <v>2</v>
      </c>
      <c r="H124" s="335"/>
      <c r="I124" s="335"/>
      <c r="J124" s="335"/>
      <c r="K124" s="335"/>
      <c r="L124" s="46"/>
      <c r="M124" s="1" t="str">
        <f t="shared" si="11"/>
        <v/>
      </c>
    </row>
    <row r="125" spans="1:13" ht="20.100000000000001" customHeight="1">
      <c r="A125" s="49" t="str">
        <f>IF(B125&gt;"","*","")</f>
        <v/>
      </c>
      <c r="B125" s="287" t="str">
        <f>IF(AND(taxcountry="India",D19&lt;&gt;Languages!L129),"PAN","")</f>
        <v/>
      </c>
      <c r="C125" s="287"/>
      <c r="D125" s="287"/>
      <c r="E125" s="287"/>
      <c r="F125" s="288"/>
      <c r="G125" s="313"/>
      <c r="H125" s="314"/>
      <c r="I125" s="314"/>
      <c r="J125" s="314"/>
      <c r="K125" s="314"/>
      <c r="L125" s="315"/>
      <c r="M125" s="1" t="str">
        <f t="shared" si="11"/>
        <v/>
      </c>
    </row>
    <row r="126" spans="1:13" ht="20.100000000000001" customHeight="1">
      <c r="A126" s="49" t="str">
        <f t="shared" ref="A126:A128" si="12">IF(B126&gt;"","*","")</f>
        <v/>
      </c>
      <c r="B126" s="287" t="str">
        <f>IF(AND(taxcountry="India",D19&lt;&gt;Languages!L129),"Withholding class","")</f>
        <v/>
      </c>
      <c r="C126" s="287"/>
      <c r="D126" s="287"/>
      <c r="E126" s="287"/>
      <c r="F126" s="288"/>
      <c r="G126" s="334" t="s">
        <v>2</v>
      </c>
      <c r="H126" s="335"/>
      <c r="I126" s="335"/>
      <c r="J126" s="335"/>
      <c r="K126" s="335"/>
      <c r="L126" s="46"/>
      <c r="M126" s="1" t="str">
        <f t="shared" si="11"/>
        <v/>
      </c>
    </row>
    <row r="127" spans="1:13" ht="20.100000000000001" customHeight="1">
      <c r="A127" s="49" t="str">
        <f t="shared" si="12"/>
        <v/>
      </c>
      <c r="B127" s="287" t="str">
        <f>IF(AND(taxcountry="India",D19&lt;&gt;Languages!L129),"Withholding status","")</f>
        <v/>
      </c>
      <c r="C127" s="287"/>
      <c r="D127" s="287"/>
      <c r="E127" s="287"/>
      <c r="F127" s="288"/>
      <c r="G127" s="334" t="s">
        <v>2</v>
      </c>
      <c r="H127" s="335"/>
      <c r="I127" s="335"/>
      <c r="J127" s="335"/>
      <c r="K127" s="335"/>
      <c r="L127" s="46"/>
      <c r="M127" s="1" t="str">
        <f t="shared" si="11"/>
        <v/>
      </c>
    </row>
    <row r="128" spans="1:13" ht="20.100000000000001" customHeight="1">
      <c r="A128" s="49" t="str">
        <f t="shared" si="12"/>
        <v/>
      </c>
      <c r="B128" s="287" t="str">
        <f>IF(AND(taxcountry="India",D19&lt;&gt;Languages!L129),"GST registration status","")</f>
        <v/>
      </c>
      <c r="C128" s="287"/>
      <c r="D128" s="287"/>
      <c r="E128" s="287"/>
      <c r="F128" s="288"/>
      <c r="G128" s="334" t="s">
        <v>2</v>
      </c>
      <c r="H128" s="335"/>
      <c r="I128" s="335"/>
      <c r="J128" s="335"/>
      <c r="K128" s="335"/>
      <c r="L128" s="46"/>
      <c r="M128" s="1" t="str">
        <f t="shared" si="11"/>
        <v/>
      </c>
    </row>
    <row r="129" spans="1:13" ht="20.100000000000001" customHeight="1">
      <c r="A129" s="121" t="str">
        <f>IF(B129&gt;"","*","")</f>
        <v/>
      </c>
      <c r="B129" s="287" t="str">
        <f>IF(G128="Registered","Enter GST Number","")</f>
        <v/>
      </c>
      <c r="C129" s="287"/>
      <c r="D129" s="287"/>
      <c r="E129" s="287"/>
      <c r="F129" s="288"/>
      <c r="G129" s="313"/>
      <c r="H129" s="314"/>
      <c r="I129" s="314"/>
      <c r="J129" s="314"/>
      <c r="K129" s="314"/>
      <c r="L129" s="315"/>
      <c r="M129" s="1" t="str">
        <f>A129</f>
        <v/>
      </c>
    </row>
    <row r="130" spans="1:13" ht="20.100000000000001" customHeight="1">
      <c r="A130" s="49"/>
      <c r="B130" s="287" t="str">
        <f>IF(taxcountry="India","MSME registered","")</f>
        <v/>
      </c>
      <c r="C130" s="287"/>
      <c r="D130" s="287"/>
      <c r="E130" s="287"/>
      <c r="F130" s="288"/>
      <c r="G130" s="334" t="s">
        <v>8</v>
      </c>
      <c r="H130" s="335"/>
      <c r="I130" s="335"/>
      <c r="J130" s="335"/>
      <c r="K130" s="335"/>
      <c r="L130" s="46"/>
      <c r="M130" s="1" t="str">
        <f>IF(taxcountry="India","*","")</f>
        <v/>
      </c>
    </row>
    <row r="131" spans="1:13" ht="20.100000000000001" customHeight="1">
      <c r="A131" s="49" t="str">
        <f>IF(B131&gt;"","*","")</f>
        <v/>
      </c>
      <c r="B131" s="287" t="str">
        <f>IF(G130=Languages!L109,"MSME registration number","")</f>
        <v/>
      </c>
      <c r="C131" s="287"/>
      <c r="D131" s="287"/>
      <c r="E131" s="287"/>
      <c r="F131" s="288"/>
      <c r="G131" s="453"/>
      <c r="H131" s="454"/>
      <c r="I131" s="454"/>
      <c r="J131" s="454"/>
      <c r="K131" s="454"/>
      <c r="L131" s="455"/>
      <c r="M131" s="1" t="str">
        <f t="shared" ref="M131:M142" si="13">A131</f>
        <v/>
      </c>
    </row>
    <row r="132" spans="1:13" s="2" customFormat="1" ht="27" customHeight="1">
      <c r="A132" s="107" t="str">
        <f>IF(AND(taxcountry="India",D19&lt;&gt;Languages!L129),"*","")</f>
        <v/>
      </c>
      <c r="B132" s="460" t="str">
        <f>IF(AND(taxcountry="India",D19&lt;&gt;Languages!L129),"If registered, provide information for all registrations.","")</f>
        <v/>
      </c>
      <c r="C132" s="460"/>
      <c r="D132" s="460"/>
      <c r="E132" s="468" t="s">
        <v>24</v>
      </c>
      <c r="F132" s="469"/>
      <c r="G132" s="469"/>
      <c r="H132" s="469"/>
      <c r="I132" s="469"/>
      <c r="J132" s="469"/>
      <c r="K132" s="469"/>
      <c r="L132" s="80"/>
      <c r="M132" s="2" t="str">
        <f t="shared" si="13"/>
        <v/>
      </c>
    </row>
    <row r="133" spans="1:13" s="2" customFormat="1" ht="42" customHeight="1">
      <c r="A133" s="198" t="str">
        <f t="shared" ref="A133:A138" si="14">IF(B133&gt;"","*","")</f>
        <v/>
      </c>
      <c r="B133" s="327" t="str">
        <f>IF(suppaytype=Languages!L134,Languages!L172,"")</f>
        <v/>
      </c>
      <c r="C133" s="327"/>
      <c r="D133" s="327"/>
      <c r="E133" s="327"/>
      <c r="F133" s="327"/>
      <c r="G133" s="327"/>
      <c r="H133" s="327"/>
      <c r="I133" s="327"/>
      <c r="J133" s="327"/>
      <c r="K133" s="327"/>
      <c r="L133" s="199"/>
      <c r="M133" s="1" t="str">
        <f t="shared" si="13"/>
        <v/>
      </c>
    </row>
    <row r="134" spans="1:13" ht="20.100000000000001" customHeight="1">
      <c r="A134" s="49" t="str">
        <f t="shared" si="14"/>
        <v/>
      </c>
      <c r="B134" s="336" t="str">
        <f>IF(taxcountry="Spain",Languages!L76,"")</f>
        <v/>
      </c>
      <c r="C134" s="336"/>
      <c r="D134" s="336"/>
      <c r="E134" s="336"/>
      <c r="F134" s="337"/>
      <c r="G134" s="466" t="s">
        <v>6</v>
      </c>
      <c r="H134" s="467"/>
      <c r="I134" s="467"/>
      <c r="J134" s="467"/>
      <c r="K134" s="467"/>
      <c r="L134" s="46"/>
      <c r="M134" s="1" t="str">
        <f t="shared" si="13"/>
        <v/>
      </c>
    </row>
    <row r="135" spans="1:13" ht="20.100000000000001" customHeight="1">
      <c r="A135" s="49" t="str">
        <f t="shared" si="14"/>
        <v/>
      </c>
      <c r="B135" s="336" t="str">
        <f>IF(taxcountry="Spain",Languages!L77,"")</f>
        <v/>
      </c>
      <c r="C135" s="336"/>
      <c r="D135" s="336"/>
      <c r="E135" s="336"/>
      <c r="F135" s="337"/>
      <c r="G135" s="302"/>
      <c r="H135" s="303"/>
      <c r="I135" s="303"/>
      <c r="J135" s="303"/>
      <c r="K135" s="303"/>
      <c r="L135" s="304"/>
      <c r="M135" s="1" t="str">
        <f t="shared" si="13"/>
        <v/>
      </c>
    </row>
    <row r="136" spans="1:13" ht="20.100000000000001" customHeight="1">
      <c r="A136" s="49" t="str">
        <f t="shared" si="14"/>
        <v/>
      </c>
      <c r="B136" s="318" t="str">
        <f>IF(taxcountry="Japan",Languages!L175,"")</f>
        <v/>
      </c>
      <c r="C136" s="318"/>
      <c r="D136" s="318"/>
      <c r="E136" s="318"/>
      <c r="F136" s="319"/>
      <c r="G136" s="203" t="s">
        <v>25</v>
      </c>
      <c r="H136" s="320"/>
      <c r="I136" s="320"/>
      <c r="J136" s="320"/>
      <c r="K136" s="320"/>
      <c r="L136" s="185"/>
    </row>
    <row r="137" spans="1:13" ht="35.1" customHeight="1">
      <c r="A137" s="49" t="str">
        <f t="shared" si="14"/>
        <v/>
      </c>
      <c r="B137" s="318" t="str">
        <f>IF(ledger1="Japan","コメント (Please input the words Withholding Vendor if withholding tax is necessary.)","")</f>
        <v/>
      </c>
      <c r="C137" s="318"/>
      <c r="D137" s="318"/>
      <c r="E137" s="318"/>
      <c r="F137" s="319"/>
      <c r="G137" s="302"/>
      <c r="H137" s="303"/>
      <c r="I137" s="303"/>
      <c r="J137" s="303"/>
      <c r="K137" s="303"/>
      <c r="L137" s="304"/>
      <c r="M137" s="1" t="str">
        <f t="shared" si="13"/>
        <v/>
      </c>
    </row>
    <row r="138" spans="1:13" s="2" customFormat="1" ht="45.6" customHeight="1">
      <c r="A138" s="49" t="str">
        <f t="shared" si="14"/>
        <v/>
      </c>
      <c r="B138" s="281" t="str">
        <f>IF(E138&gt;"",Languages!L84,"")</f>
        <v/>
      </c>
      <c r="C138" s="281"/>
      <c r="D138" s="282"/>
      <c r="E138" s="440" t="str">
        <f>Conditions!K2</f>
        <v/>
      </c>
      <c r="F138" s="441"/>
      <c r="G138" s="441"/>
      <c r="H138" s="441"/>
      <c r="I138" s="441"/>
      <c r="J138" s="441"/>
      <c r="K138" s="441"/>
      <c r="L138" s="442"/>
      <c r="M138" s="2" t="str">
        <f t="shared" si="13"/>
        <v/>
      </c>
    </row>
    <row r="139" spans="1:13" s="2" customFormat="1" ht="30" customHeight="1">
      <c r="A139" s="88" t="str">
        <f t="shared" ref="A139" si="15">IF(B139&gt;"","*","")</f>
        <v/>
      </c>
      <c r="B139" s="281" t="str">
        <f>IF(OR(E138="A W9 Form is Required.  Please submit with your completed form.",E138="A W8 Form is Required.  Please submit with your completed form.",E138="A W8 Form must be completed to claim tax treaty benefits in order to avoid 30% withholding. If no W8 is provided, 30% will be withheld from your payments."),"Review IRS requirements","")</f>
        <v/>
      </c>
      <c r="C139" s="281"/>
      <c r="D139" s="282"/>
      <c r="E139" s="311" t="s">
        <v>26</v>
      </c>
      <c r="F139" s="312"/>
      <c r="G139" s="312"/>
      <c r="H139" s="312"/>
      <c r="I139" s="312"/>
      <c r="J139" s="312"/>
      <c r="K139" s="312"/>
      <c r="L139" s="87"/>
      <c r="M139" s="2" t="str">
        <f t="shared" si="13"/>
        <v/>
      </c>
    </row>
    <row r="140" spans="1:13" ht="35.1" customHeight="1">
      <c r="A140" s="49" t="s">
        <v>0</v>
      </c>
      <c r="B140" s="281" t="str">
        <f>Languages!L85</f>
        <v>Account Holder Name</v>
      </c>
      <c r="C140" s="281"/>
      <c r="D140" s="281"/>
      <c r="E140" s="281"/>
      <c r="F140" s="282"/>
      <c r="G140" s="321" t="str">
        <f>IF(G51&gt;"",G51,"")</f>
        <v/>
      </c>
      <c r="H140" s="322"/>
      <c r="I140" s="322"/>
      <c r="J140" s="322"/>
      <c r="K140" s="322"/>
      <c r="L140" s="323"/>
      <c r="M140" s="1" t="str">
        <f t="shared" si="13"/>
        <v>*</v>
      </c>
    </row>
    <row r="141" spans="1:13" ht="44.1" customHeight="1">
      <c r="A141" s="49" t="str">
        <f>IF(B141&gt;"","*","")</f>
        <v/>
      </c>
      <c r="B141" s="448" t="str">
        <f>IF(OR(E12=Languages!L117,E12=Languages!L118),Languages!L81,"")</f>
        <v/>
      </c>
      <c r="C141" s="448"/>
      <c r="D141" s="448"/>
      <c r="E141" s="448"/>
      <c r="F141" s="449"/>
      <c r="G141" s="443"/>
      <c r="H141" s="444"/>
      <c r="I141" s="444"/>
      <c r="J141" s="444"/>
      <c r="K141" s="444"/>
      <c r="L141" s="445"/>
      <c r="M141" s="1" t="str">
        <f t="shared" si="13"/>
        <v/>
      </c>
    </row>
    <row r="142" spans="1:13" ht="21.6" customHeight="1">
      <c r="A142" s="49" t="str">
        <f>IF(B142&gt;"","*","")</f>
        <v>*</v>
      </c>
      <c r="B142" s="281" t="str">
        <f>IF(OR(ledger1="EmailAge",ledger1="United States"),"",Languages!L82)</f>
        <v>Invoice Currency</v>
      </c>
      <c r="C142" s="281"/>
      <c r="D142" s="281"/>
      <c r="E142" s="281"/>
      <c r="F142" s="282"/>
      <c r="G142" s="334" t="s">
        <v>6</v>
      </c>
      <c r="H142" s="335"/>
      <c r="I142" s="335"/>
      <c r="J142" s="335"/>
      <c r="K142" s="335"/>
      <c r="L142" s="46"/>
      <c r="M142" s="1" t="str">
        <f t="shared" si="13"/>
        <v>*</v>
      </c>
    </row>
    <row r="143" spans="1:13" ht="35.1" customHeight="1">
      <c r="A143" s="49" t="str">
        <f>IF(B143&gt;"","*","")</f>
        <v>*</v>
      </c>
      <c r="B143" s="279" t="str">
        <f>Languages!L86</f>
        <v>Bank Name</v>
      </c>
      <c r="C143" s="280"/>
      <c r="D143" s="346"/>
      <c r="E143" s="347"/>
      <c r="F143" s="347"/>
      <c r="G143" s="347"/>
      <c r="H143" s="347"/>
      <c r="I143" s="347"/>
      <c r="J143" s="347"/>
      <c r="K143" s="347"/>
      <c r="L143" s="348"/>
      <c r="M143" s="1" t="str">
        <f t="shared" ref="M143:M165" si="16">A143</f>
        <v>*</v>
      </c>
    </row>
    <row r="144" spans="1:13" ht="35.1" customHeight="1">
      <c r="A144" s="49"/>
      <c r="B144" s="279" t="str">
        <f>Languages!L87</f>
        <v>Branch Name</v>
      </c>
      <c r="C144" s="280"/>
      <c r="D144" s="346"/>
      <c r="E144" s="347"/>
      <c r="F144" s="347"/>
      <c r="G144" s="347"/>
      <c r="H144" s="347"/>
      <c r="I144" s="347"/>
      <c r="J144" s="347"/>
      <c r="K144" s="347"/>
      <c r="L144" s="348"/>
      <c r="M144" s="1" t="s">
        <v>0</v>
      </c>
    </row>
    <row r="145" spans="1:13" s="2" customFormat="1" ht="24" customHeight="1">
      <c r="A145" s="49" t="str">
        <f t="shared" ref="A145:A165" si="17">IF(B145&gt;"","*","")</f>
        <v>*</v>
      </c>
      <c r="B145" s="279" t="str">
        <f>Languages!L88</f>
        <v>Bank Country</v>
      </c>
      <c r="C145" s="279"/>
      <c r="D145" s="279"/>
      <c r="E145" s="279"/>
      <c r="F145" s="279"/>
      <c r="G145" s="279"/>
      <c r="H145" s="280"/>
      <c r="I145" s="451" t="s">
        <v>12</v>
      </c>
      <c r="J145" s="452"/>
      <c r="K145" s="452"/>
      <c r="L145" s="45"/>
      <c r="M145" s="2" t="str">
        <f t="shared" si="16"/>
        <v>*</v>
      </c>
    </row>
    <row r="146" spans="1:13" s="2" customFormat="1" ht="45" customHeight="1">
      <c r="A146" s="49" t="str">
        <f t="shared" si="17"/>
        <v>*</v>
      </c>
      <c r="B146" s="281" t="str">
        <f>Languages!L89</f>
        <v>Bank Account Number</v>
      </c>
      <c r="C146" s="282"/>
      <c r="D146" s="346"/>
      <c r="E146" s="347"/>
      <c r="F146" s="347"/>
      <c r="G146" s="347"/>
      <c r="H146" s="347"/>
      <c r="I146" s="347"/>
      <c r="J146" s="347"/>
      <c r="K146" s="347"/>
      <c r="L146" s="348"/>
      <c r="M146" s="2" t="str">
        <f t="shared" si="16"/>
        <v>*</v>
      </c>
    </row>
    <row r="147" spans="1:13" ht="20.100000000000001" customHeight="1">
      <c r="A147" s="49" t="str">
        <f>IF(B147&gt;"","*","")</f>
        <v/>
      </c>
      <c r="B147" s="281" t="str">
        <f>IF(bankcountry2="Australia","BSB Number","")</f>
        <v/>
      </c>
      <c r="C147" s="282"/>
      <c r="D147" s="346"/>
      <c r="E147" s="347"/>
      <c r="F147" s="347"/>
      <c r="G147" s="347"/>
      <c r="H147" s="347"/>
      <c r="I147" s="347"/>
      <c r="J147" s="347"/>
      <c r="K147" s="347"/>
      <c r="L147" s="348"/>
      <c r="M147" s="1" t="str">
        <f>A147</f>
        <v/>
      </c>
    </row>
    <row r="148" spans="1:13" s="2" customFormat="1" ht="25.5" customHeight="1">
      <c r="A148" s="49" t="str">
        <f>IF(B148&gt;"","*","")</f>
        <v/>
      </c>
      <c r="B148" s="279" t="str">
        <f>IF(OR(ledger1="EmailAge",ledger1="United States"),Languages!L148,"")</f>
        <v/>
      </c>
      <c r="C148" s="279"/>
      <c r="D148" s="279"/>
      <c r="E148" s="279"/>
      <c r="F148" s="279"/>
      <c r="G148" s="279"/>
      <c r="H148" s="280"/>
      <c r="I148" s="346" t="s">
        <v>27</v>
      </c>
      <c r="J148" s="347"/>
      <c r="K148" s="347"/>
      <c r="L148" s="174"/>
      <c r="M148" s="2" t="str">
        <f t="shared" si="16"/>
        <v/>
      </c>
    </row>
    <row r="149" spans="1:13" s="2" customFormat="1" ht="25.5" customHeight="1">
      <c r="A149" s="49" t="str">
        <f>IF(B149&gt;"","*","")</f>
        <v/>
      </c>
      <c r="B149" s="280" t="str">
        <f>IF(OR(ledger1="EmailAge",ledger1="United States"),Languages!L149,"")</f>
        <v/>
      </c>
      <c r="C149" s="446"/>
      <c r="D149" s="446"/>
      <c r="E149" s="446"/>
      <c r="F149" s="446"/>
      <c r="G149" s="446"/>
      <c r="H149" s="446"/>
      <c r="I149" s="447" t="s">
        <v>27</v>
      </c>
      <c r="J149" s="447"/>
      <c r="K149" s="346"/>
      <c r="L149" s="174"/>
      <c r="M149" s="2" t="str">
        <f t="shared" si="16"/>
        <v/>
      </c>
    </row>
    <row r="150" spans="1:13" s="2" customFormat="1" ht="39" customHeight="1">
      <c r="A150" s="121" t="str">
        <f>IF(B150&gt;"","*","")</f>
        <v/>
      </c>
      <c r="B150" s="464" t="str">
        <f>IF(OR(ledger1="EmailAge",ledger1="United States"),Languages!L150,"")</f>
        <v/>
      </c>
      <c r="C150" s="464"/>
      <c r="D150" s="464"/>
      <c r="E150" s="464"/>
      <c r="F150" s="464"/>
      <c r="G150" s="464"/>
      <c r="H150" s="464"/>
      <c r="I150" s="464"/>
      <c r="J150" s="464"/>
      <c r="K150" s="464"/>
      <c r="L150" s="174"/>
      <c r="M150" s="2" t="str">
        <f t="shared" si="16"/>
        <v/>
      </c>
    </row>
    <row r="151" spans="1:13" ht="20.100000000000001" customHeight="1">
      <c r="A151" s="49" t="str">
        <f t="shared" si="17"/>
        <v/>
      </c>
      <c r="B151" s="281" t="str">
        <f>IF(bankcountry2="Russia","VO Code","")</f>
        <v/>
      </c>
      <c r="C151" s="282"/>
      <c r="D151" s="346"/>
      <c r="E151" s="347"/>
      <c r="F151" s="347"/>
      <c r="G151" s="347"/>
      <c r="H151" s="347"/>
      <c r="I151" s="347"/>
      <c r="J151" s="347"/>
      <c r="K151" s="347"/>
      <c r="L151" s="348"/>
      <c r="M151" s="1" t="str">
        <f t="shared" si="16"/>
        <v/>
      </c>
    </row>
    <row r="152" spans="1:13" ht="20.100000000000001" customHeight="1">
      <c r="A152" s="49" t="str">
        <f t="shared" si="17"/>
        <v/>
      </c>
      <c r="B152" s="281" t="str">
        <f>IF(bankcountry2="Russia","BIK Code","")</f>
        <v/>
      </c>
      <c r="C152" s="282"/>
      <c r="D152" s="346"/>
      <c r="E152" s="347"/>
      <c r="F152" s="347"/>
      <c r="G152" s="347"/>
      <c r="H152" s="347"/>
      <c r="I152" s="347"/>
      <c r="J152" s="347"/>
      <c r="K152" s="347"/>
      <c r="L152" s="348"/>
    </row>
    <row r="153" spans="1:13" s="2" customFormat="1" ht="43.5" customHeight="1">
      <c r="A153" s="49" t="str">
        <f t="shared" si="17"/>
        <v/>
      </c>
      <c r="B153" s="281" t="str">
        <f>IF(bankcodecond&gt;0,Languages!L90,"")</f>
        <v/>
      </c>
      <c r="C153" s="282"/>
      <c r="D153" s="346"/>
      <c r="E153" s="347"/>
      <c r="F153" s="347"/>
      <c r="G153" s="347"/>
      <c r="H153" s="347"/>
      <c r="I153" s="347"/>
      <c r="J153" s="347"/>
      <c r="K153" s="347"/>
      <c r="L153" s="348"/>
      <c r="M153" s="2" t="str">
        <f t="shared" si="16"/>
        <v/>
      </c>
    </row>
    <row r="154" spans="1:13" ht="45.6" customHeight="1">
      <c r="A154" s="49" t="str">
        <f>IF(sortbranchreqcond1&gt;0,"*","")</f>
        <v>*</v>
      </c>
      <c r="B154" s="281" t="str">
        <f>IF(sortbranchcond1&gt;0,Languages!L91,"")</f>
        <v>Sort/Branch Code</v>
      </c>
      <c r="C154" s="282"/>
      <c r="D154" s="346"/>
      <c r="E154" s="347"/>
      <c r="F154" s="347"/>
      <c r="G154" s="347"/>
      <c r="H154" s="347"/>
      <c r="I154" s="347"/>
      <c r="J154" s="347"/>
      <c r="K154" s="347"/>
      <c r="L154" s="348"/>
      <c r="M154" s="175" t="str">
        <f t="shared" si="16"/>
        <v>*</v>
      </c>
    </row>
    <row r="155" spans="1:13" ht="30" customHeight="1">
      <c r="A155" s="49" t="str">
        <f t="shared" si="17"/>
        <v>*</v>
      </c>
      <c r="B155" s="281" t="str">
        <f>IF(OR(bankcountry2="India",bankcountry2="select a country…"),"IFSC Code","")</f>
        <v>IFSC Code</v>
      </c>
      <c r="C155" s="282"/>
      <c r="D155" s="346"/>
      <c r="E155" s="347"/>
      <c r="F155" s="347"/>
      <c r="G155" s="347"/>
      <c r="H155" s="347"/>
      <c r="I155" s="347"/>
      <c r="J155" s="347"/>
      <c r="K155" s="347"/>
      <c r="L155" s="348"/>
      <c r="M155" s="1" t="str">
        <f t="shared" si="16"/>
        <v>*</v>
      </c>
    </row>
    <row r="156" spans="1:13" ht="30" customHeight="1">
      <c r="A156" s="49" t="str">
        <f t="shared" ref="A156" si="18">IF(B156&gt;"","*","")</f>
        <v>*</v>
      </c>
      <c r="B156" s="281" t="str">
        <f>IF(OR(bankcountry2="Mexico",bankcountry2="select a country…"),"CLABE","")</f>
        <v>CLABE</v>
      </c>
      <c r="C156" s="282"/>
      <c r="D156" s="417"/>
      <c r="E156" s="418"/>
      <c r="F156" s="418"/>
      <c r="G156" s="418"/>
      <c r="H156" s="418"/>
      <c r="I156" s="418"/>
      <c r="J156" s="418"/>
      <c r="K156" s="418"/>
      <c r="L156" s="419"/>
      <c r="M156" s="1" t="str">
        <f t="shared" si="16"/>
        <v>*</v>
      </c>
    </row>
    <row r="157" spans="1:13" ht="20.100000000000001" customHeight="1">
      <c r="A157" s="49" t="str">
        <f t="shared" si="17"/>
        <v>*</v>
      </c>
      <c r="B157" s="281" t="str">
        <f>IF(OR(bankcountry2="United States",bankcountry2="select a country…"),Languages!L92,"")</f>
        <v>ACH Routing Code</v>
      </c>
      <c r="C157" s="282"/>
      <c r="D157" s="346"/>
      <c r="E157" s="347"/>
      <c r="F157" s="347"/>
      <c r="G157" s="347"/>
      <c r="H157" s="347"/>
      <c r="I157" s="347"/>
      <c r="J157" s="347"/>
      <c r="K157" s="347"/>
      <c r="L157" s="348"/>
      <c r="M157" s="1" t="str">
        <f t="shared" si="16"/>
        <v>*</v>
      </c>
    </row>
    <row r="158" spans="1:13" ht="39" customHeight="1">
      <c r="A158" s="49" t="str">
        <f>IF(ibanreqcond1&gt;0,"*","")</f>
        <v>*</v>
      </c>
      <c r="B158" s="281" t="str">
        <f>IF(ibancond1&gt;0,Languages!L93,"")</f>
        <v>IBAN Number</v>
      </c>
      <c r="C158" s="282"/>
      <c r="D158" s="346"/>
      <c r="E158" s="347"/>
      <c r="F158" s="347"/>
      <c r="G158" s="347"/>
      <c r="H158" s="347"/>
      <c r="I158" s="347"/>
      <c r="J158" s="347"/>
      <c r="K158" s="347"/>
      <c r="L158" s="348"/>
      <c r="M158" s="1" t="str">
        <f t="shared" si="16"/>
        <v>*</v>
      </c>
    </row>
    <row r="159" spans="1:13" ht="54.9" customHeight="1">
      <c r="A159" s="49"/>
      <c r="B159" s="281" t="str">
        <f>Languages!L94</f>
        <v>BIC / SWIFT Code</v>
      </c>
      <c r="C159" s="282"/>
      <c r="D159" s="346"/>
      <c r="E159" s="347"/>
      <c r="F159" s="347"/>
      <c r="G159" s="347"/>
      <c r="H159" s="347"/>
      <c r="I159" s="347"/>
      <c r="J159" s="347"/>
      <c r="K159" s="347"/>
      <c r="L159" s="348"/>
      <c r="M159" s="1" t="s">
        <v>0</v>
      </c>
    </row>
    <row r="160" spans="1:13" s="2" customFormat="1" ht="36.6" customHeight="1">
      <c r="A160" s="49" t="str">
        <f>IF(bankcountry2="Malaysia","*","")</f>
        <v/>
      </c>
      <c r="B160" s="141"/>
      <c r="C160" s="427" t="str">
        <f>Languages!L95</f>
        <v>SWIFT code is required for foreign payments only.</v>
      </c>
      <c r="D160" s="427"/>
      <c r="E160" s="427"/>
      <c r="F160" s="427"/>
      <c r="G160" s="427"/>
      <c r="H160" s="427"/>
      <c r="I160" s="427"/>
      <c r="J160" s="427"/>
      <c r="K160" s="139"/>
      <c r="L160" s="45"/>
      <c r="M160" s="2" t="str">
        <f>IF(bankcountry2&lt;&gt;"Malaysia","*","")</f>
        <v>*</v>
      </c>
    </row>
    <row r="161" spans="1:13" ht="50.4" customHeight="1">
      <c r="A161" s="49" t="str">
        <f t="shared" si="17"/>
        <v/>
      </c>
      <c r="B161" s="281" t="str">
        <f>IF(OR(bankcountry2="China",bankcountry2="Korea",bankcountry2="Malaysia"),Languages!L96,"")</f>
        <v/>
      </c>
      <c r="C161" s="281"/>
      <c r="D161" s="282"/>
      <c r="E161" s="346"/>
      <c r="F161" s="347"/>
      <c r="G161" s="347"/>
      <c r="H161" s="347"/>
      <c r="I161" s="347"/>
      <c r="J161" s="347"/>
      <c r="K161" s="347"/>
      <c r="L161" s="348"/>
      <c r="M161" s="1" t="str">
        <f t="shared" si="16"/>
        <v/>
      </c>
    </row>
    <row r="162" spans="1:13" ht="20.100000000000001" customHeight="1">
      <c r="A162" s="49" t="str">
        <f t="shared" si="17"/>
        <v/>
      </c>
      <c r="B162" s="281" t="str">
        <f>IF(bankcountry2="United States","Account Type","")</f>
        <v/>
      </c>
      <c r="C162" s="282"/>
      <c r="D162" s="346" t="s">
        <v>6</v>
      </c>
      <c r="E162" s="347"/>
      <c r="F162" s="404"/>
      <c r="G162" s="423"/>
      <c r="H162" s="424"/>
      <c r="I162" s="424"/>
      <c r="J162" s="424"/>
      <c r="K162" s="424"/>
      <c r="L162" s="425"/>
      <c r="M162" s="1" t="str">
        <f t="shared" si="16"/>
        <v/>
      </c>
    </row>
    <row r="163" spans="1:13" ht="30" customHeight="1">
      <c r="A163" s="49" t="str">
        <f t="shared" si="17"/>
        <v/>
      </c>
      <c r="B163" s="281" t="str">
        <f>IF(bankcountry2="Japan","Account Type 口座の種類","")</f>
        <v/>
      </c>
      <c r="C163" s="282"/>
      <c r="D163" s="346" t="s">
        <v>6</v>
      </c>
      <c r="E163" s="347"/>
      <c r="F163" s="404"/>
      <c r="G163" s="423"/>
      <c r="H163" s="424"/>
      <c r="I163" s="424"/>
      <c r="J163" s="424"/>
      <c r="K163" s="424"/>
      <c r="L163" s="425"/>
      <c r="M163" s="1" t="str">
        <f t="shared" si="16"/>
        <v/>
      </c>
    </row>
    <row r="164" spans="1:13" ht="27.9" customHeight="1">
      <c r="A164" s="49" t="str">
        <f t="shared" ref="A164" si="19">IF(B164&gt;"","*","")</f>
        <v/>
      </c>
      <c r="B164" s="281" t="str">
        <f>IF(bankcountry2="South Korea","Account Type 계정 유형","")</f>
        <v/>
      </c>
      <c r="C164" s="282"/>
      <c r="D164" s="346" t="s">
        <v>6</v>
      </c>
      <c r="E164" s="347"/>
      <c r="F164" s="404"/>
      <c r="G164" s="407"/>
      <c r="H164" s="408"/>
      <c r="I164" s="408"/>
      <c r="J164" s="408"/>
      <c r="K164" s="408"/>
      <c r="L164" s="409"/>
      <c r="M164" s="1" t="str">
        <f t="shared" si="16"/>
        <v/>
      </c>
    </row>
    <row r="165" spans="1:13" ht="20.100000000000001" customHeight="1">
      <c r="A165" s="122" t="str">
        <f t="shared" si="17"/>
        <v/>
      </c>
      <c r="B165" s="367" t="str">
        <f>IF(bankcountry2="Spain","Check Digit","")</f>
        <v/>
      </c>
      <c r="C165" s="368"/>
      <c r="D165" s="410"/>
      <c r="E165" s="411"/>
      <c r="F165" s="411"/>
      <c r="G165" s="411"/>
      <c r="H165" s="411"/>
      <c r="I165" s="411"/>
      <c r="J165" s="411"/>
      <c r="K165" s="411"/>
      <c r="L165" s="412"/>
      <c r="M165" s="1" t="str">
        <f t="shared" si="16"/>
        <v/>
      </c>
    </row>
    <row r="166" spans="1:13" customFormat="1" ht="84" customHeight="1">
      <c r="A166" s="426" t="str">
        <f>Languages!L101</f>
        <v xml:space="preserve">I HEREBY CERTIFY THAT THE INFORMATION PROVIDED HEREIN IS COMPLETE AND FACTUAL TO THE BEST OF MY KNOWLEDGE. *
Supplier understands LexisNexis Accounts Payable confidentially maintains a global supplier platform, therefore information provided on this form may be used for payments owing to the supplier from any of the RELX global companies. </v>
      </c>
      <c r="B166" s="426"/>
      <c r="C166" s="426"/>
      <c r="D166" s="426"/>
      <c r="E166" s="426"/>
      <c r="F166" s="426"/>
      <c r="G166" s="426"/>
      <c r="H166" s="426"/>
      <c r="I166" s="426"/>
      <c r="J166" s="426"/>
      <c r="K166" s="426"/>
      <c r="L166" s="426"/>
      <c r="M166" t="s">
        <v>0</v>
      </c>
    </row>
    <row r="167" spans="1:13" ht="35.1" customHeight="1">
      <c r="A167" s="49" t="s">
        <v>0</v>
      </c>
      <c r="B167" s="279" t="str">
        <f>Languages!L102</f>
        <v>Date</v>
      </c>
      <c r="C167" s="280"/>
      <c r="D167" s="420"/>
      <c r="E167" s="421"/>
      <c r="F167" s="421"/>
      <c r="G167" s="421"/>
      <c r="H167" s="421"/>
      <c r="I167" s="421"/>
      <c r="J167" s="421"/>
      <c r="K167" s="421"/>
      <c r="L167" s="422"/>
      <c r="M167" s="1" t="str">
        <f>A167</f>
        <v>*</v>
      </c>
    </row>
    <row r="168" spans="1:13" ht="35.1" customHeight="1">
      <c r="A168" s="49" t="s">
        <v>0</v>
      </c>
      <c r="B168" s="279" t="str">
        <f>Languages!L103</f>
        <v>Name</v>
      </c>
      <c r="C168" s="280"/>
      <c r="D168" s="346"/>
      <c r="E168" s="347"/>
      <c r="F168" s="347"/>
      <c r="G168" s="347"/>
      <c r="H168" s="347"/>
      <c r="I168" s="347"/>
      <c r="J168" s="347"/>
      <c r="K168" s="347"/>
      <c r="L168" s="348"/>
      <c r="M168" s="1" t="str">
        <f>A168</f>
        <v>*</v>
      </c>
    </row>
    <row r="169" spans="1:13" ht="35.1" customHeight="1">
      <c r="A169" s="49" t="s">
        <v>0</v>
      </c>
      <c r="B169" s="279" t="str">
        <f>Languages!L104</f>
        <v>Title</v>
      </c>
      <c r="C169" s="280"/>
      <c r="D169" s="346"/>
      <c r="E169" s="347"/>
      <c r="F169" s="347"/>
      <c r="G169" s="347"/>
      <c r="H169" s="347"/>
      <c r="I169" s="347"/>
      <c r="J169" s="347"/>
      <c r="K169" s="347"/>
      <c r="L169" s="348"/>
      <c r="M169" s="1" t="str">
        <f>A169</f>
        <v>*</v>
      </c>
    </row>
    <row r="170" spans="1:13" ht="35.1" customHeight="1">
      <c r="A170" s="49" t="s">
        <v>0</v>
      </c>
      <c r="B170" s="279" t="str">
        <f>Languages!L105</f>
        <v>Signature</v>
      </c>
      <c r="C170" s="280"/>
      <c r="D170" s="261"/>
      <c r="E170" s="262"/>
      <c r="F170" s="262"/>
      <c r="G170" s="262"/>
      <c r="H170" s="262"/>
      <c r="I170" s="262"/>
      <c r="J170" s="262"/>
      <c r="K170" s="262"/>
      <c r="L170" s="174"/>
      <c r="M170" s="1" t="str">
        <f>A170</f>
        <v>*</v>
      </c>
    </row>
    <row r="171" spans="1:13" ht="35.1" customHeight="1">
      <c r="A171" s="49" t="s">
        <v>0</v>
      </c>
      <c r="B171" s="279" t="str">
        <f>Languages!L258</f>
        <v>Email Address</v>
      </c>
      <c r="C171" s="280"/>
      <c r="D171" s="346"/>
      <c r="E171" s="347"/>
      <c r="F171" s="347"/>
      <c r="G171" s="347"/>
      <c r="H171" s="347"/>
      <c r="I171" s="347"/>
      <c r="J171" s="347"/>
      <c r="K171" s="347"/>
      <c r="L171" s="348"/>
      <c r="M171" s="1" t="s">
        <v>0</v>
      </c>
    </row>
    <row r="172" spans="1:13" ht="20.100000000000001" customHeight="1">
      <c r="A172" s="49" t="s">
        <v>0</v>
      </c>
      <c r="B172" s="279" t="s">
        <v>28</v>
      </c>
      <c r="C172" s="279"/>
      <c r="D172" s="279"/>
      <c r="E172" s="279"/>
      <c r="F172" s="83"/>
      <c r="G172" s="30"/>
      <c r="H172" s="289"/>
      <c r="I172" s="290"/>
      <c r="J172" s="428"/>
      <c r="K172" s="429"/>
      <c r="L172" s="46"/>
      <c r="M172" s="1" t="str">
        <f>IF(E15="China","*","")</f>
        <v/>
      </c>
    </row>
    <row r="173" spans="1:13" s="2" customFormat="1" ht="23.4" customHeight="1">
      <c r="A173" s="400" t="str">
        <f>Languages!L97</f>
        <v>FORM SUBMISSION</v>
      </c>
      <c r="B173" s="401"/>
      <c r="C173" s="401"/>
      <c r="D173" s="401"/>
      <c r="E173" s="401"/>
      <c r="F173" s="401"/>
      <c r="G173" s="401"/>
      <c r="H173" s="401"/>
      <c r="I173" s="401"/>
      <c r="J173" s="401"/>
      <c r="K173" s="401"/>
      <c r="L173" s="402"/>
      <c r="M173" s="2" t="s">
        <v>0</v>
      </c>
    </row>
    <row r="174" spans="1:13" s="2" customFormat="1" ht="75" customHeight="1" thickBot="1">
      <c r="A174" s="122"/>
      <c r="B174" s="367" t="s">
        <v>29</v>
      </c>
      <c r="C174" s="367"/>
      <c r="D174" s="367"/>
      <c r="E174" s="367"/>
      <c r="F174" s="367"/>
      <c r="G174" s="367"/>
      <c r="H174" s="367"/>
      <c r="I174" s="367"/>
      <c r="J174" s="367"/>
      <c r="K174" s="367"/>
      <c r="L174" s="157"/>
      <c r="M174" s="2" t="str">
        <f>IF(E15="China","*","")</f>
        <v/>
      </c>
    </row>
    <row r="175" spans="1:13" s="119" customFormat="1" ht="104.25" customHeight="1">
      <c r="A175" s="273"/>
      <c r="B175" s="434" t="str">
        <f>Languages!L106</f>
        <v xml:space="preserve">THIS FORM MUST BE PROVIDED TO ACCOUNTS PAYABLE IN PDF FORMAT. 
Either select Save As and choose a Save as type of PDF 
or Print and select Printer of Microsoft Print to PDF. </v>
      </c>
      <c r="C175" s="434"/>
      <c r="D175" s="434"/>
      <c r="E175" s="434"/>
      <c r="F175" s="434"/>
      <c r="G175" s="434"/>
      <c r="H175" s="434"/>
      <c r="I175" s="434"/>
      <c r="J175" s="434"/>
      <c r="K175" s="434"/>
      <c r="L175" s="274"/>
      <c r="M175" s="119" t="s">
        <v>0</v>
      </c>
    </row>
    <row r="176" spans="1:13" ht="103.5" customHeight="1" thickBot="1">
      <c r="A176" s="275"/>
      <c r="B176" s="413" t="str">
        <f>Languages!L107</f>
        <v>EMAIL COMPLETED PDF COPY OF THIS FORM AND ALL OTHER RELEVANT DOCUMENTATION TO:</v>
      </c>
      <c r="C176" s="413"/>
      <c r="D176" s="413"/>
      <c r="E176" s="413"/>
      <c r="F176" s="435" t="str">
        <f>IF(E15="China","LNG-CHN VM MAILBOX &lt;lngchnvm.mailbox@lexisnexis.com&gt;","ap.globalvendormaintenance@lexisnexis.com")</f>
        <v>ap.globalvendormaintenance@lexisnexis.com</v>
      </c>
      <c r="G176" s="435"/>
      <c r="H176" s="435"/>
      <c r="I176" s="435"/>
      <c r="J176" s="435"/>
      <c r="K176" s="435"/>
      <c r="L176" s="276"/>
      <c r="M176" s="2" t="s">
        <v>0</v>
      </c>
    </row>
    <row r="177" spans="1:13" s="2" customFormat="1" ht="31.5" customHeight="1">
      <c r="A177" s="414" t="str">
        <f>Languages!L99</f>
        <v>Secure Fax Number</v>
      </c>
      <c r="B177" s="415"/>
      <c r="C177" s="415"/>
      <c r="D177" s="416"/>
      <c r="E177" s="438" t="s">
        <v>30</v>
      </c>
      <c r="F177" s="438"/>
      <c r="G177" s="438"/>
      <c r="H177" s="438"/>
      <c r="I177" s="438"/>
      <c r="J177" s="438"/>
      <c r="K177" s="439"/>
      <c r="L177" s="272"/>
      <c r="M177" s="2" t="str">
        <f>IF(Conditions!$E$19&lt;&gt;0,"*","")</f>
        <v/>
      </c>
    </row>
    <row r="178" spans="1:13" s="2" customFormat="1" ht="31.5" customHeight="1" thickBot="1">
      <c r="A178" s="431" t="str">
        <f>Languages!L100</f>
        <v>Mailing Address</v>
      </c>
      <c r="B178" s="432"/>
      <c r="C178" s="432"/>
      <c r="D178" s="433" t="s">
        <v>31</v>
      </c>
      <c r="E178" s="436" t="s">
        <v>32</v>
      </c>
      <c r="F178" s="436"/>
      <c r="G178" s="436"/>
      <c r="H178" s="436"/>
      <c r="I178" s="436"/>
      <c r="J178" s="436"/>
      <c r="K178" s="437"/>
      <c r="L178" s="157"/>
      <c r="M178" s="2" t="str">
        <f>IF(Conditions!$E$19&lt;&gt;0,"*","")</f>
        <v/>
      </c>
    </row>
    <row r="179" spans="1:13" ht="25.5" customHeight="1" thickBot="1">
      <c r="A179" s="461" t="str">
        <f>Languages!L43</f>
        <v>P2P (INTERNAL) USE ONLY</v>
      </c>
      <c r="B179" s="462"/>
      <c r="C179" s="462"/>
      <c r="D179" s="462"/>
      <c r="E179" s="462"/>
      <c r="F179" s="462"/>
      <c r="G179" s="462"/>
      <c r="H179" s="462"/>
      <c r="I179" s="462"/>
      <c r="J179" s="462"/>
      <c r="K179" s="462"/>
      <c r="L179" s="463"/>
      <c r="M179" s="1" t="s">
        <v>0</v>
      </c>
    </row>
    <row r="180" spans="1:13">
      <c r="A180" s="158"/>
      <c r="B180" s="405" t="s">
        <v>33</v>
      </c>
      <c r="C180" s="405"/>
      <c r="D180" s="405"/>
      <c r="E180" s="405"/>
      <c r="F180" s="430" t="str">
        <f>IF(E28&gt;"",E28,"")</f>
        <v/>
      </c>
      <c r="G180" s="430"/>
      <c r="H180" s="430"/>
      <c r="I180" s="430"/>
      <c r="J180" s="430"/>
      <c r="K180" s="430"/>
      <c r="L180" s="159"/>
      <c r="M180" s="1" t="s">
        <v>0</v>
      </c>
    </row>
    <row r="181" spans="1:13" ht="29.4" customHeight="1">
      <c r="A181" s="126"/>
      <c r="B181" s="406" t="s">
        <v>34</v>
      </c>
      <c r="C181" s="406"/>
      <c r="D181" s="406"/>
      <c r="E181" s="406"/>
      <c r="F181" s="399" t="str">
        <f>IF(E9=Languages!L108,"",E9)</f>
        <v/>
      </c>
      <c r="G181" s="399"/>
      <c r="H181" s="399"/>
      <c r="I181" s="399"/>
      <c r="J181" s="399"/>
      <c r="K181" s="399"/>
      <c r="L181" s="91"/>
      <c r="M181" s="1" t="s">
        <v>0</v>
      </c>
    </row>
    <row r="182" spans="1:13">
      <c r="A182" s="126"/>
      <c r="B182" s="406" t="s">
        <v>35</v>
      </c>
      <c r="C182" s="406"/>
      <c r="D182" s="406"/>
      <c r="E182" s="406"/>
      <c r="F182" s="399" t="str">
        <f>IF(ledger1&lt;&gt;"Select One…",ledger1,"")</f>
        <v/>
      </c>
      <c r="G182" s="399"/>
      <c r="H182" s="399"/>
      <c r="I182" s="399"/>
      <c r="J182" s="399"/>
      <c r="K182" s="399"/>
      <c r="L182" s="91"/>
      <c r="M182" s="1" t="s">
        <v>0</v>
      </c>
    </row>
    <row r="183" spans="1:13">
      <c r="A183" s="126"/>
      <c r="B183" s="406" t="s">
        <v>36</v>
      </c>
      <c r="C183" s="406"/>
      <c r="D183" s="406"/>
      <c r="E183" s="406"/>
      <c r="F183" s="399" t="str">
        <f>IF('VM Team Conditions'!D1&gt;"",'VM Team Conditions'!D1,"")</f>
        <v/>
      </c>
      <c r="G183" s="399"/>
      <c r="H183" s="399"/>
      <c r="I183" s="399"/>
      <c r="J183" s="399"/>
      <c r="K183" s="399"/>
      <c r="L183" s="91"/>
      <c r="M183" s="1" t="s">
        <v>0</v>
      </c>
    </row>
    <row r="184" spans="1:13">
      <c r="A184" s="126"/>
      <c r="B184" s="406" t="s">
        <v>37</v>
      </c>
      <c r="C184" s="406"/>
      <c r="D184" s="406"/>
      <c r="E184" s="406"/>
      <c r="F184" s="399">
        <f>I11</f>
        <v>0</v>
      </c>
      <c r="G184" s="399"/>
      <c r="H184" s="399"/>
      <c r="I184" s="399"/>
      <c r="J184" s="399"/>
      <c r="K184" s="399"/>
      <c r="L184" s="91"/>
      <c r="M184" s="1" t="s">
        <v>0</v>
      </c>
    </row>
    <row r="185" spans="1:13" ht="26.25" customHeight="1">
      <c r="A185" s="127"/>
      <c r="B185" s="406" t="s">
        <v>38</v>
      </c>
      <c r="C185" s="406"/>
      <c r="D185" s="406"/>
      <c r="E185" s="90"/>
      <c r="F185" s="399" t="str">
        <f>IF(AND(I21='Drop Down Lists'!A2,Form!I23='Drop Down Lists'!A2),"Set up two separate vendor ID's.","")</f>
        <v/>
      </c>
      <c r="G185" s="399"/>
      <c r="H185" s="399"/>
      <c r="I185" s="399"/>
      <c r="J185" s="399"/>
      <c r="K185" s="399"/>
      <c r="L185" s="92"/>
      <c r="M185" s="1" t="s">
        <v>0</v>
      </c>
    </row>
    <row r="186" spans="1:13">
      <c r="A186" s="127"/>
      <c r="B186" s="406" t="s">
        <v>39</v>
      </c>
      <c r="C186" s="406"/>
      <c r="D186" s="406"/>
      <c r="E186" s="406"/>
      <c r="F186" s="399" t="str">
        <f>IF('VM Team Conditions'!G1&gt;"",'VM Team Conditions'!G1,"")</f>
        <v/>
      </c>
      <c r="G186" s="399"/>
      <c r="H186" s="399"/>
      <c r="I186" s="399"/>
      <c r="J186" s="399"/>
      <c r="K186" s="399"/>
      <c r="L186" s="92"/>
      <c r="M186" s="1" t="s">
        <v>0</v>
      </c>
    </row>
    <row r="187" spans="1:13" ht="45.6" customHeight="1">
      <c r="A187" s="128"/>
      <c r="B187" s="403" t="s">
        <v>40</v>
      </c>
      <c r="C187" s="403"/>
      <c r="D187" s="403"/>
      <c r="E187" s="403"/>
      <c r="F187" s="398" t="str">
        <f>IF(E138&gt;"",E138,"None")</f>
        <v>None</v>
      </c>
      <c r="G187" s="398"/>
      <c r="H187" s="398"/>
      <c r="I187" s="398"/>
      <c r="J187" s="398"/>
      <c r="K187" s="398"/>
      <c r="L187" s="93"/>
      <c r="M187" s="1" t="s">
        <v>0</v>
      </c>
    </row>
  </sheetData>
  <sheetProtection algorithmName="SHA-512" hashValue="1nGnmDw+knJhXSiZzKg3TpE49ks/wNCRTxGpr2DwLs6H8q+b9AqfqJqXBDtas2OSTaS38pI2dR7OvGYmpmFmkg==" saltValue="WeOnfiTqREKIIAEC2O8u8w==" spinCount="100000" sheet="1" objects="1" scenarios="1"/>
  <mergeCells count="357">
    <mergeCell ref="B72:F72"/>
    <mergeCell ref="B75:F75"/>
    <mergeCell ref="B4:D4"/>
    <mergeCell ref="A1:L1"/>
    <mergeCell ref="G75:L75"/>
    <mergeCell ref="G78:L78"/>
    <mergeCell ref="G81:L81"/>
    <mergeCell ref="B33:I33"/>
    <mergeCell ref="J33:K33"/>
    <mergeCell ref="A2:L2"/>
    <mergeCell ref="B34:D34"/>
    <mergeCell ref="B51:F51"/>
    <mergeCell ref="B54:F54"/>
    <mergeCell ref="B81:F81"/>
    <mergeCell ref="G69:L69"/>
    <mergeCell ref="B8:D8"/>
    <mergeCell ref="B10:D10"/>
    <mergeCell ref="B11:D11"/>
    <mergeCell ref="A3:K3"/>
    <mergeCell ref="G66:L66"/>
    <mergeCell ref="B53:F53"/>
    <mergeCell ref="B52:F52"/>
    <mergeCell ref="B31:D31"/>
    <mergeCell ref="B50:H50"/>
    <mergeCell ref="B35:I35"/>
    <mergeCell ref="J35:K35"/>
    <mergeCell ref="J41:K41"/>
    <mergeCell ref="B41:I41"/>
    <mergeCell ref="E36:L36"/>
    <mergeCell ref="G52:L52"/>
    <mergeCell ref="E32:K32"/>
    <mergeCell ref="E31:L31"/>
    <mergeCell ref="B45:D45"/>
    <mergeCell ref="J50:K50"/>
    <mergeCell ref="E34:K34"/>
    <mergeCell ref="B42:K42"/>
    <mergeCell ref="B37:G37"/>
    <mergeCell ref="H37:K37"/>
    <mergeCell ref="B38:I38"/>
    <mergeCell ref="B39:I39"/>
    <mergeCell ref="B40:I40"/>
    <mergeCell ref="J38:K38"/>
    <mergeCell ref="J39:K39"/>
    <mergeCell ref="J40:K40"/>
    <mergeCell ref="G51:L51"/>
    <mergeCell ref="B32:D32"/>
    <mergeCell ref="B36:D36"/>
    <mergeCell ref="G58:K58"/>
    <mergeCell ref="B59:F59"/>
    <mergeCell ref="G59:K59"/>
    <mergeCell ref="B109:D109"/>
    <mergeCell ref="E106:L106"/>
    <mergeCell ref="B56:F56"/>
    <mergeCell ref="I43:K43"/>
    <mergeCell ref="B43:H43"/>
    <mergeCell ref="G53:L53"/>
    <mergeCell ref="E45:L45"/>
    <mergeCell ref="B100:F100"/>
    <mergeCell ref="B48:K48"/>
    <mergeCell ref="B44:J44"/>
    <mergeCell ref="B46:K46"/>
    <mergeCell ref="B98:F98"/>
    <mergeCell ref="G68:L68"/>
    <mergeCell ref="G89:L89"/>
    <mergeCell ref="B55:F55"/>
    <mergeCell ref="B93:F93"/>
    <mergeCell ref="G56:K56"/>
    <mergeCell ref="C61:L61"/>
    <mergeCell ref="G55:K55"/>
    <mergeCell ref="B85:F85"/>
    <mergeCell ref="B62:F62"/>
    <mergeCell ref="G62:K62"/>
    <mergeCell ref="B82:K82"/>
    <mergeCell ref="G54:L54"/>
    <mergeCell ref="G65:L65"/>
    <mergeCell ref="B108:K108"/>
    <mergeCell ref="B107:D107"/>
    <mergeCell ref="B101:F101"/>
    <mergeCell ref="B102:F102"/>
    <mergeCell ref="B65:F65"/>
    <mergeCell ref="B79:F79"/>
    <mergeCell ref="G79:L79"/>
    <mergeCell ref="B80:K80"/>
    <mergeCell ref="G93:H93"/>
    <mergeCell ref="G76:K76"/>
    <mergeCell ref="B76:F76"/>
    <mergeCell ref="B86:F86"/>
    <mergeCell ref="G73:L73"/>
    <mergeCell ref="B60:K60"/>
    <mergeCell ref="B63:F63"/>
    <mergeCell ref="G63:H63"/>
    <mergeCell ref="C57:J57"/>
    <mergeCell ref="B69:F69"/>
    <mergeCell ref="B84:F84"/>
    <mergeCell ref="B83:F83"/>
    <mergeCell ref="A179:L179"/>
    <mergeCell ref="G67:L67"/>
    <mergeCell ref="G74:L74"/>
    <mergeCell ref="G90:K90"/>
    <mergeCell ref="B91:F91"/>
    <mergeCell ref="G91:L91"/>
    <mergeCell ref="B74:F74"/>
    <mergeCell ref="G70:L70"/>
    <mergeCell ref="G72:L72"/>
    <mergeCell ref="G87:L87"/>
    <mergeCell ref="G84:L84"/>
    <mergeCell ref="G85:L85"/>
    <mergeCell ref="G86:L86"/>
    <mergeCell ref="B88:F88"/>
    <mergeCell ref="B89:F89"/>
    <mergeCell ref="B90:F90"/>
    <mergeCell ref="B78:F78"/>
    <mergeCell ref="I148:K148"/>
    <mergeCell ref="B150:K150"/>
    <mergeCell ref="G142:K142"/>
    <mergeCell ref="G112:K112"/>
    <mergeCell ref="G134:K134"/>
    <mergeCell ref="E132:K132"/>
    <mergeCell ref="B131:F131"/>
    <mergeCell ref="B145:H145"/>
    <mergeCell ref="B144:C144"/>
    <mergeCell ref="G131:L131"/>
    <mergeCell ref="B119:F119"/>
    <mergeCell ref="B114:F114"/>
    <mergeCell ref="G114:L114"/>
    <mergeCell ref="B115:F115"/>
    <mergeCell ref="G115:L115"/>
    <mergeCell ref="B116:F116"/>
    <mergeCell ref="J121:K121"/>
    <mergeCell ref="B126:F126"/>
    <mergeCell ref="B120:F120"/>
    <mergeCell ref="B117:F117"/>
    <mergeCell ref="G116:L116"/>
    <mergeCell ref="G117:L117"/>
    <mergeCell ref="B118:I118"/>
    <mergeCell ref="J118:K118"/>
    <mergeCell ref="G135:L135"/>
    <mergeCell ref="B132:D132"/>
    <mergeCell ref="B134:F134"/>
    <mergeCell ref="B143:C143"/>
    <mergeCell ref="G130:K130"/>
    <mergeCell ref="B147:C147"/>
    <mergeCell ref="B130:F130"/>
    <mergeCell ref="D153:L153"/>
    <mergeCell ref="B121:F121"/>
    <mergeCell ref="E138:L138"/>
    <mergeCell ref="D147:L147"/>
    <mergeCell ref="B153:C153"/>
    <mergeCell ref="B148:H148"/>
    <mergeCell ref="B152:C152"/>
    <mergeCell ref="B151:C151"/>
    <mergeCell ref="G141:L141"/>
    <mergeCell ref="D151:L151"/>
    <mergeCell ref="D152:L152"/>
    <mergeCell ref="B142:F142"/>
    <mergeCell ref="B146:C146"/>
    <mergeCell ref="B149:H149"/>
    <mergeCell ref="I149:K149"/>
    <mergeCell ref="B141:F141"/>
    <mergeCell ref="G121:H121"/>
    <mergeCell ref="G124:K124"/>
    <mergeCell ref="D143:L143"/>
    <mergeCell ref="D144:L144"/>
    <mergeCell ref="D146:L146"/>
    <mergeCell ref="I145:K145"/>
    <mergeCell ref="F185:K185"/>
    <mergeCell ref="B105:F105"/>
    <mergeCell ref="G105:L105"/>
    <mergeCell ref="B97:F97"/>
    <mergeCell ref="G98:L98"/>
    <mergeCell ref="G99:L99"/>
    <mergeCell ref="G100:L100"/>
    <mergeCell ref="F107:H107"/>
    <mergeCell ref="I107:L107"/>
    <mergeCell ref="G162:L162"/>
    <mergeCell ref="F183:K183"/>
    <mergeCell ref="B182:E182"/>
    <mergeCell ref="F181:K181"/>
    <mergeCell ref="H172:I172"/>
    <mergeCell ref="J172:K172"/>
    <mergeCell ref="B172:E172"/>
    <mergeCell ref="F180:K180"/>
    <mergeCell ref="A178:D178"/>
    <mergeCell ref="B175:K175"/>
    <mergeCell ref="F176:K176"/>
    <mergeCell ref="E178:K178"/>
    <mergeCell ref="E177:K177"/>
    <mergeCell ref="B154:C154"/>
    <mergeCell ref="D154:L154"/>
    <mergeCell ref="B155:C155"/>
    <mergeCell ref="D155:L155"/>
    <mergeCell ref="D164:F164"/>
    <mergeCell ref="B168:C168"/>
    <mergeCell ref="D156:L156"/>
    <mergeCell ref="D157:L157"/>
    <mergeCell ref="D158:L158"/>
    <mergeCell ref="B169:C169"/>
    <mergeCell ref="D159:L159"/>
    <mergeCell ref="B167:C167"/>
    <mergeCell ref="D167:L167"/>
    <mergeCell ref="G163:L163"/>
    <mergeCell ref="B164:C164"/>
    <mergeCell ref="A166:L166"/>
    <mergeCell ref="B161:D161"/>
    <mergeCell ref="E161:L161"/>
    <mergeCell ref="D162:F162"/>
    <mergeCell ref="B158:C158"/>
    <mergeCell ref="B156:C156"/>
    <mergeCell ref="B157:C157"/>
    <mergeCell ref="C160:J160"/>
    <mergeCell ref="D168:L168"/>
    <mergeCell ref="D169:L169"/>
    <mergeCell ref="F187:K187"/>
    <mergeCell ref="F186:K186"/>
    <mergeCell ref="A173:L173"/>
    <mergeCell ref="B159:C159"/>
    <mergeCell ref="B162:C162"/>
    <mergeCell ref="B165:C165"/>
    <mergeCell ref="B187:E187"/>
    <mergeCell ref="B163:C163"/>
    <mergeCell ref="D163:F163"/>
    <mergeCell ref="B180:E180"/>
    <mergeCell ref="B181:E181"/>
    <mergeCell ref="B184:E184"/>
    <mergeCell ref="F184:K184"/>
    <mergeCell ref="B185:D185"/>
    <mergeCell ref="F182:K182"/>
    <mergeCell ref="B171:C171"/>
    <mergeCell ref="G164:L164"/>
    <mergeCell ref="D165:L165"/>
    <mergeCell ref="B176:E176"/>
    <mergeCell ref="B186:E186"/>
    <mergeCell ref="B183:E183"/>
    <mergeCell ref="A177:D177"/>
    <mergeCell ref="B174:K174"/>
    <mergeCell ref="D171:L171"/>
    <mergeCell ref="I21:K21"/>
    <mergeCell ref="B29:D29"/>
    <mergeCell ref="B30:D30"/>
    <mergeCell ref="B27:G27"/>
    <mergeCell ref="H26:K26"/>
    <mergeCell ref="H27:K27"/>
    <mergeCell ref="E29:L29"/>
    <mergeCell ref="B26:G26"/>
    <mergeCell ref="E28:L28"/>
    <mergeCell ref="E30:L30"/>
    <mergeCell ref="D19:K19"/>
    <mergeCell ref="B19:C19"/>
    <mergeCell ref="B25:H25"/>
    <mergeCell ref="I25:K25"/>
    <mergeCell ref="B21:H21"/>
    <mergeCell ref="G92:L92"/>
    <mergeCell ref="G83:L83"/>
    <mergeCell ref="B58:F58"/>
    <mergeCell ref="B5:K5"/>
    <mergeCell ref="E9:K9"/>
    <mergeCell ref="B7:H7"/>
    <mergeCell ref="J7:K7"/>
    <mergeCell ref="E8:L8"/>
    <mergeCell ref="B20:D20"/>
    <mergeCell ref="E20:H20"/>
    <mergeCell ref="B9:D9"/>
    <mergeCell ref="I10:L10"/>
    <mergeCell ref="A6:L6"/>
    <mergeCell ref="B22:E22"/>
    <mergeCell ref="F22:K22"/>
    <mergeCell ref="B23:H23"/>
    <mergeCell ref="I23:K23"/>
    <mergeCell ref="E14:K14"/>
    <mergeCell ref="A10:A11"/>
    <mergeCell ref="B18:C18"/>
    <mergeCell ref="D18:K18"/>
    <mergeCell ref="E11:H11"/>
    <mergeCell ref="B13:D13"/>
    <mergeCell ref="I11:L11"/>
    <mergeCell ref="E13:L13"/>
    <mergeCell ref="B16:D16"/>
    <mergeCell ref="B14:D14"/>
    <mergeCell ref="B17:C17"/>
    <mergeCell ref="D17:K17"/>
    <mergeCell ref="B12:D12"/>
    <mergeCell ref="E12:K12"/>
    <mergeCell ref="E16:K16"/>
    <mergeCell ref="E15:K15"/>
    <mergeCell ref="B15:D15"/>
    <mergeCell ref="E10:H10"/>
    <mergeCell ref="E4:K4"/>
    <mergeCell ref="B125:F125"/>
    <mergeCell ref="B128:F128"/>
    <mergeCell ref="B129:F129"/>
    <mergeCell ref="B124:F124"/>
    <mergeCell ref="B137:F137"/>
    <mergeCell ref="G126:K126"/>
    <mergeCell ref="B135:F135"/>
    <mergeCell ref="A47:L47"/>
    <mergeCell ref="B49:J49"/>
    <mergeCell ref="G127:K127"/>
    <mergeCell ref="B122:F122"/>
    <mergeCell ref="B67:F67"/>
    <mergeCell ref="B73:F73"/>
    <mergeCell ref="B77:F77"/>
    <mergeCell ref="B71:F71"/>
    <mergeCell ref="G77:K77"/>
    <mergeCell ref="I93:L93"/>
    <mergeCell ref="G88:L88"/>
    <mergeCell ref="B87:F87"/>
    <mergeCell ref="B68:F68"/>
    <mergeCell ref="G128:K128"/>
    <mergeCell ref="B66:F66"/>
    <mergeCell ref="N95:S95"/>
    <mergeCell ref="B140:F140"/>
    <mergeCell ref="B138:D138"/>
    <mergeCell ref="E139:K139"/>
    <mergeCell ref="G122:L122"/>
    <mergeCell ref="G123:L123"/>
    <mergeCell ref="G125:L125"/>
    <mergeCell ref="G129:L129"/>
    <mergeCell ref="B96:F96"/>
    <mergeCell ref="G120:L120"/>
    <mergeCell ref="B136:F136"/>
    <mergeCell ref="H136:K136"/>
    <mergeCell ref="B112:F112"/>
    <mergeCell ref="G113:L113"/>
    <mergeCell ref="B104:F104"/>
    <mergeCell ref="B123:F123"/>
    <mergeCell ref="G140:L140"/>
    <mergeCell ref="G137:L137"/>
    <mergeCell ref="C110:K110"/>
    <mergeCell ref="C111:K111"/>
    <mergeCell ref="B133:K133"/>
    <mergeCell ref="B139:D139"/>
    <mergeCell ref="I109:L109"/>
    <mergeCell ref="B127:F127"/>
    <mergeCell ref="B170:C170"/>
    <mergeCell ref="B64:F64"/>
    <mergeCell ref="G64:K64"/>
    <mergeCell ref="G71:K71"/>
    <mergeCell ref="B70:F70"/>
    <mergeCell ref="B24:E24"/>
    <mergeCell ref="F24:K24"/>
    <mergeCell ref="B113:F113"/>
    <mergeCell ref="B95:F95"/>
    <mergeCell ref="B103:F103"/>
    <mergeCell ref="F109:H109"/>
    <mergeCell ref="B94:F94"/>
    <mergeCell ref="G94:L94"/>
    <mergeCell ref="G95:L95"/>
    <mergeCell ref="G96:L96"/>
    <mergeCell ref="G104:L104"/>
    <mergeCell ref="G97:L97"/>
    <mergeCell ref="G101:L101"/>
    <mergeCell ref="B99:F99"/>
    <mergeCell ref="G102:L102"/>
    <mergeCell ref="G103:L103"/>
    <mergeCell ref="B106:D106"/>
    <mergeCell ref="B92:F92"/>
    <mergeCell ref="B28:D28"/>
  </mergeCells>
  <conditionalFormatting sqref="A77:B77 G77:L77">
    <cfRule type="expression" dxfId="214" priority="340" stopIfTrue="1">
      <formula>$A$77&lt;&gt;"*"</formula>
    </cfRule>
  </conditionalFormatting>
  <conditionalFormatting sqref="A106:B106 E106">
    <cfRule type="expression" dxfId="213" priority="56">
      <formula>$A$106&lt;&gt;"*"</formula>
    </cfRule>
  </conditionalFormatting>
  <conditionalFormatting sqref="A148:B148 I148 L148">
    <cfRule type="expression" dxfId="212" priority="33">
      <formula>$A$148&lt;&gt;"*"</formula>
    </cfRule>
  </conditionalFormatting>
  <conditionalFormatting sqref="A170:B170 D170:F170 A170:A171">
    <cfRule type="expression" dxfId="211" priority="205">
      <formula>#REF!="YES"</formula>
    </cfRule>
  </conditionalFormatting>
  <conditionalFormatting sqref="A160:C160 K160:L160">
    <cfRule type="expression" dxfId="210" priority="63">
      <formula>$A$160="*"</formula>
    </cfRule>
  </conditionalFormatting>
  <conditionalFormatting sqref="A138:E138">
    <cfRule type="expression" dxfId="209" priority="174">
      <formula>$A$139&lt;&gt;"*"</formula>
    </cfRule>
  </conditionalFormatting>
  <conditionalFormatting sqref="A167:F169">
    <cfRule type="expression" dxfId="208" priority="172">
      <formula>#REF!="YES"</formula>
    </cfRule>
  </conditionalFormatting>
  <conditionalFormatting sqref="A121:G121 I121:L121">
    <cfRule type="expression" dxfId="207" priority="322">
      <formula>$A$121&lt;&gt;"*"</formula>
    </cfRule>
  </conditionalFormatting>
  <conditionalFormatting sqref="A27:H27 L27">
    <cfRule type="expression" dxfId="206" priority="376">
      <formula>$A$27&lt;&gt;"*"</formula>
    </cfRule>
  </conditionalFormatting>
  <conditionalFormatting sqref="A10:K11">
    <cfRule type="expression" dxfId="205" priority="78">
      <formula>$A$10&lt;&gt;"*"</formula>
    </cfRule>
  </conditionalFormatting>
  <conditionalFormatting sqref="A13:K13">
    <cfRule type="expression" dxfId="204" priority="75">
      <formula>$A$13&lt;&gt;"*"</formula>
    </cfRule>
  </conditionalFormatting>
  <conditionalFormatting sqref="A29:K29 A30">
    <cfRule type="expression" dxfId="203" priority="185">
      <formula>$A$29&lt;&gt;"*"</formula>
    </cfRule>
  </conditionalFormatting>
  <conditionalFormatting sqref="A45:K45">
    <cfRule type="expression" dxfId="202" priority="129">
      <formula>$A$45&lt;&gt;"*"</formula>
    </cfRule>
  </conditionalFormatting>
  <conditionalFormatting sqref="A52:K52">
    <cfRule type="expression" dxfId="201" priority="220" stopIfTrue="1">
      <formula>$B$52&lt;&gt;"Translation Name (English)"</formula>
    </cfRule>
  </conditionalFormatting>
  <conditionalFormatting sqref="A53:K53">
    <cfRule type="expression" dxfId="200" priority="154" stopIfTrue="1">
      <formula>$B$53&lt;&gt;"Translation name  フリガナ (if applicable)"</formula>
    </cfRule>
  </conditionalFormatting>
  <conditionalFormatting sqref="A54:K54">
    <cfRule type="expression" dxfId="199" priority="146" stopIfTrue="1">
      <formula>$B$54&lt;&gt;"Translation name  상호명(한글) (if applicable)"</formula>
    </cfRule>
  </conditionalFormatting>
  <conditionalFormatting sqref="A63:K63">
    <cfRule type="expression" dxfId="198" priority="140">
      <formula>$A$63&lt;&gt;"*"</formula>
    </cfRule>
  </conditionalFormatting>
  <conditionalFormatting sqref="A66:K66">
    <cfRule type="expression" dxfId="197" priority="338">
      <formula>$A$66&lt;&gt;"*"</formula>
    </cfRule>
  </conditionalFormatting>
  <conditionalFormatting sqref="A73:K73">
    <cfRule type="expression" dxfId="196" priority="341">
      <formula>$A$73&lt;&gt;"*"</formula>
    </cfRule>
  </conditionalFormatting>
  <conditionalFormatting sqref="A74:K74">
    <cfRule type="expression" dxfId="195" priority="70">
      <formula>$A$74&lt;&gt;"*"</formula>
    </cfRule>
  </conditionalFormatting>
  <conditionalFormatting sqref="A94:K94">
    <cfRule type="expression" dxfId="194" priority="219" stopIfTrue="1">
      <formula>$A$94&lt;&gt;"*"</formula>
    </cfRule>
  </conditionalFormatting>
  <conditionalFormatting sqref="A95:K95">
    <cfRule type="expression" dxfId="193" priority="339">
      <formula>$A$95&lt;&gt;"+"</formula>
    </cfRule>
  </conditionalFormatting>
  <conditionalFormatting sqref="A96:K96">
    <cfRule type="expression" dxfId="192" priority="335">
      <formula>$A$96&lt;&gt;"*"</formula>
    </cfRule>
  </conditionalFormatting>
  <conditionalFormatting sqref="A97:K97">
    <cfRule type="expression" dxfId="191" priority="336">
      <formula>$A$97&lt;&gt;"*"</formula>
    </cfRule>
  </conditionalFormatting>
  <conditionalFormatting sqref="A98:K98">
    <cfRule type="expression" dxfId="190" priority="330">
      <formula>$A$98&lt;&gt;"*"</formula>
    </cfRule>
  </conditionalFormatting>
  <conditionalFormatting sqref="A99:K99">
    <cfRule type="expression" dxfId="189" priority="214">
      <formula>$A$99&lt;&gt;"*"</formula>
    </cfRule>
  </conditionalFormatting>
  <conditionalFormatting sqref="A100:K100">
    <cfRule type="expression" dxfId="188" priority="213">
      <formula>$A$100&lt;&gt;"*"</formula>
    </cfRule>
  </conditionalFormatting>
  <conditionalFormatting sqref="A101:K101">
    <cfRule type="expression" dxfId="187" priority="212">
      <formula>$A$101&lt;&gt;"*"</formula>
    </cfRule>
  </conditionalFormatting>
  <conditionalFormatting sqref="A102:K102">
    <cfRule type="expression" dxfId="186" priority="211">
      <formula>$A$102&lt;&gt;"*"</formula>
    </cfRule>
  </conditionalFormatting>
  <conditionalFormatting sqref="A103:K103">
    <cfRule type="expression" dxfId="185" priority="145">
      <formula>$A$103&lt;&gt;"*"</formula>
    </cfRule>
  </conditionalFormatting>
  <conditionalFormatting sqref="A113:K113">
    <cfRule type="expression" dxfId="184" priority="325">
      <formula>$A$112&lt;&gt;"*"</formula>
    </cfRule>
  </conditionalFormatting>
  <conditionalFormatting sqref="A120:K120">
    <cfRule type="expression" dxfId="183" priority="321">
      <formula>$A$120&lt;&gt;"*"</formula>
    </cfRule>
  </conditionalFormatting>
  <conditionalFormatting sqref="A123:K123">
    <cfRule type="expression" dxfId="182" priority="320">
      <formula>$A$123&lt;&gt;"*"</formula>
    </cfRule>
  </conditionalFormatting>
  <conditionalFormatting sqref="A125:K125">
    <cfRule type="expression" dxfId="181" priority="228">
      <formula>$A$125&lt;&gt;"*"</formula>
    </cfRule>
  </conditionalFormatting>
  <conditionalFormatting sqref="A129:K129">
    <cfRule type="expression" dxfId="180" priority="66">
      <formula>$A$129&lt;&gt;"*"</formula>
    </cfRule>
  </conditionalFormatting>
  <conditionalFormatting sqref="A131:K131">
    <cfRule type="expression" dxfId="179" priority="127" stopIfTrue="1">
      <formula>$A$131&lt;&gt;"*"</formula>
    </cfRule>
  </conditionalFormatting>
  <conditionalFormatting sqref="A137:K137">
    <cfRule type="expression" dxfId="178" priority="163">
      <formula>$A$137&lt;&gt;"*"</formula>
    </cfRule>
  </conditionalFormatting>
  <conditionalFormatting sqref="A141:K141">
    <cfRule type="expression" dxfId="177" priority="269">
      <formula>$A$141&lt;&gt;"*"</formula>
    </cfRule>
  </conditionalFormatting>
  <conditionalFormatting sqref="A147:K147">
    <cfRule type="expression" dxfId="176" priority="98">
      <formula>$A$147&lt;&gt;"*"</formula>
    </cfRule>
  </conditionalFormatting>
  <conditionalFormatting sqref="A152:K152">
    <cfRule type="expression" dxfId="175" priority="59">
      <formula>$A$152&lt;&gt;"*"</formula>
    </cfRule>
  </conditionalFormatting>
  <conditionalFormatting sqref="A155:K155">
    <cfRule type="expression" dxfId="170" priority="260">
      <formula>$A$155&lt;&gt;"*"</formula>
    </cfRule>
  </conditionalFormatting>
  <conditionalFormatting sqref="A156:K156">
    <cfRule type="expression" dxfId="169" priority="259">
      <formula>$A$156&lt;&gt;"*"</formula>
    </cfRule>
  </conditionalFormatting>
  <conditionalFormatting sqref="A157:K157">
    <cfRule type="expression" dxfId="168" priority="253">
      <formula>$A$157&lt;&gt;"*"</formula>
    </cfRule>
  </conditionalFormatting>
  <conditionalFormatting sqref="A161:K161">
    <cfRule type="expression" dxfId="166" priority="90">
      <formula>$A$161&lt;&gt;"*"</formula>
    </cfRule>
  </conditionalFormatting>
  <conditionalFormatting sqref="A162:K162">
    <cfRule type="expression" dxfId="165" priority="93">
      <formula>$A$162&lt;&gt;"*"</formula>
    </cfRule>
  </conditionalFormatting>
  <conditionalFormatting sqref="A163:K163">
    <cfRule type="expression" dxfId="164" priority="65">
      <formula>$A$163&lt;&gt;"*"</formula>
    </cfRule>
  </conditionalFormatting>
  <conditionalFormatting sqref="A164:K164">
    <cfRule type="expression" dxfId="163" priority="141">
      <formula>$A$164&lt;&gt;"*"</formula>
    </cfRule>
  </conditionalFormatting>
  <conditionalFormatting sqref="A165:K165">
    <cfRule type="expression" dxfId="162" priority="245">
      <formula>$A$165&lt;&gt;"*"</formula>
    </cfRule>
  </conditionalFormatting>
  <conditionalFormatting sqref="A12:L12">
    <cfRule type="expression" dxfId="161" priority="77">
      <formula>$A$12&lt;&gt;"*"</formula>
    </cfRule>
  </conditionalFormatting>
  <conditionalFormatting sqref="A17:L17">
    <cfRule type="expression" dxfId="160" priority="153">
      <formula>$E$15&lt;&gt;"Japan"</formula>
    </cfRule>
  </conditionalFormatting>
  <conditionalFormatting sqref="A18:L18">
    <cfRule type="expression" dxfId="159" priority="61">
      <formula>$E$15&lt;&gt;"China"</formula>
    </cfRule>
  </conditionalFormatting>
  <conditionalFormatting sqref="A20:L20">
    <cfRule type="expression" dxfId="158" priority="28">
      <formula>$A$20&lt;&gt;"*"</formula>
    </cfRule>
  </conditionalFormatting>
  <conditionalFormatting sqref="A21:L21">
    <cfRule type="expression" dxfId="157" priority="27">
      <formula>$A$21&lt;&gt;"*"</formula>
    </cfRule>
  </conditionalFormatting>
  <conditionalFormatting sqref="A22:L22">
    <cfRule type="expression" dxfId="156" priority="23">
      <formula>$A$22&lt;&gt;"*"</formula>
    </cfRule>
  </conditionalFormatting>
  <conditionalFormatting sqref="A23:L23">
    <cfRule type="expression" dxfId="155" priority="25">
      <formula>$A$23&lt;&gt;"*"</formula>
    </cfRule>
  </conditionalFormatting>
  <conditionalFormatting sqref="A24:L24">
    <cfRule type="expression" dxfId="154" priority="20">
      <formula>$A$24&lt;&gt;"*"</formula>
    </cfRule>
  </conditionalFormatting>
  <conditionalFormatting sqref="A25:L25">
    <cfRule type="expression" dxfId="153" priority="21">
      <formula>$A$25&lt;&gt;"*"</formula>
    </cfRule>
  </conditionalFormatting>
  <conditionalFormatting sqref="A26:L26">
    <cfRule type="expression" dxfId="152" priority="377">
      <formula>$A$26&lt;&gt;"*"</formula>
    </cfRule>
  </conditionalFormatting>
  <conditionalFormatting sqref="A33:L33">
    <cfRule type="expression" dxfId="151" priority="17">
      <formula>$A$33&lt;&gt;"*"</formula>
    </cfRule>
  </conditionalFormatting>
  <conditionalFormatting sqref="A34:L34">
    <cfRule type="expression" dxfId="150" priority="44">
      <formula>$A$34&lt;&gt;"*"</formula>
    </cfRule>
  </conditionalFormatting>
  <conditionalFormatting sqref="A35:L35">
    <cfRule type="expression" dxfId="149" priority="43">
      <formula>$A$35&lt;&gt;"*"</formula>
    </cfRule>
  </conditionalFormatting>
  <conditionalFormatting sqref="A36:L36">
    <cfRule type="expression" dxfId="148" priority="222">
      <formula>$A$36&lt;&gt;"*"</formula>
    </cfRule>
  </conditionalFormatting>
  <conditionalFormatting sqref="A41:L41">
    <cfRule type="expression" dxfId="146" priority="72">
      <formula>$A$41&lt;&gt;"*"</formula>
    </cfRule>
  </conditionalFormatting>
  <conditionalFormatting sqref="A42:L42">
    <cfRule type="expression" dxfId="145" priority="86">
      <formula>$A$42&lt;&gt;"*"</formula>
    </cfRule>
  </conditionalFormatting>
  <conditionalFormatting sqref="A43:L43">
    <cfRule type="expression" dxfId="144" priority="71">
      <formula>$A$43&lt;&gt;"*"</formula>
    </cfRule>
  </conditionalFormatting>
  <conditionalFormatting sqref="A49:L49">
    <cfRule type="expression" dxfId="143" priority="48">
      <formula>$A$49="*"</formula>
    </cfRule>
  </conditionalFormatting>
  <conditionalFormatting sqref="A57:L57">
    <cfRule type="expression" dxfId="142" priority="4">
      <formula>$A$57&lt;&gt;"*"</formula>
    </cfRule>
  </conditionalFormatting>
  <conditionalFormatting sqref="A62:L62">
    <cfRule type="expression" dxfId="140" priority="139">
      <formula>$A$62&lt;&gt;"*"</formula>
    </cfRule>
  </conditionalFormatting>
  <conditionalFormatting sqref="A64:L64">
    <cfRule type="expression" dxfId="139" priority="181">
      <formula>$A$64&lt;&gt;"*"</formula>
    </cfRule>
  </conditionalFormatting>
  <conditionalFormatting sqref="A65:L65">
    <cfRule type="expression" dxfId="138" priority="180">
      <formula>$A$65&lt;&gt;"*"</formula>
    </cfRule>
  </conditionalFormatting>
  <conditionalFormatting sqref="A71:L71">
    <cfRule type="expression" dxfId="137" priority="69">
      <formula>$A$71&lt;&gt;"*"</formula>
    </cfRule>
  </conditionalFormatting>
  <conditionalFormatting sqref="A72:L72">
    <cfRule type="expression" dxfId="136" priority="50">
      <formula>$A$72&lt;&gt;"*"</formula>
    </cfRule>
  </conditionalFormatting>
  <conditionalFormatting sqref="A76:L76">
    <cfRule type="expression" dxfId="135" priority="178">
      <formula>$A$76&lt;&gt;"*"</formula>
    </cfRule>
  </conditionalFormatting>
  <conditionalFormatting sqref="A82:L82">
    <cfRule type="expression" dxfId="134" priority="121" stopIfTrue="1">
      <formula>$A$82&lt;&gt;"*"</formula>
    </cfRule>
  </conditionalFormatting>
  <conditionalFormatting sqref="A83:L83">
    <cfRule type="expression" dxfId="133" priority="114" stopIfTrue="1">
      <formula>$A$83&lt;&gt;"*"</formula>
    </cfRule>
  </conditionalFormatting>
  <conditionalFormatting sqref="A84:L84">
    <cfRule type="expression" dxfId="132" priority="113" stopIfTrue="1">
      <formula>$A$84&lt;&gt;"*"</formula>
    </cfRule>
  </conditionalFormatting>
  <conditionalFormatting sqref="A85:L85">
    <cfRule type="expression" dxfId="131" priority="112" stopIfTrue="1">
      <formula>$A$85&lt;&gt;"*"</formula>
    </cfRule>
  </conditionalFormatting>
  <conditionalFormatting sqref="A86:L86">
    <cfRule type="expression" dxfId="130" priority="111" stopIfTrue="1">
      <formula>$A$86&lt;&gt;"*"</formula>
    </cfRule>
  </conditionalFormatting>
  <conditionalFormatting sqref="A87:L87">
    <cfRule type="expression" dxfId="129" priority="110" stopIfTrue="1">
      <formula>$A$87&lt;&gt;"*"</formula>
    </cfRule>
  </conditionalFormatting>
  <conditionalFormatting sqref="A88:L88">
    <cfRule type="expression" dxfId="128" priority="389">
      <formula>$A$88&lt;&gt;"*"</formula>
    </cfRule>
  </conditionalFormatting>
  <conditionalFormatting sqref="A89:L89">
    <cfRule type="expression" dxfId="127" priority="108" stopIfTrue="1">
      <formula>$A$89&lt;&gt;"*"</formula>
    </cfRule>
  </conditionalFormatting>
  <conditionalFormatting sqref="A90:L90">
    <cfRule type="expression" dxfId="126" priority="383">
      <formula>$A$90&lt;&gt;"*"</formula>
    </cfRule>
  </conditionalFormatting>
  <conditionalFormatting sqref="A91:L91">
    <cfRule type="expression" dxfId="125" priority="45">
      <formula>$A$91&lt;&gt;"*"</formula>
    </cfRule>
  </conditionalFormatting>
  <conditionalFormatting sqref="A104:L104">
    <cfRule type="expression" dxfId="124" priority="329">
      <formula>$A$104&lt;&gt;"*"</formula>
    </cfRule>
  </conditionalFormatting>
  <conditionalFormatting sqref="A105:L105">
    <cfRule type="expression" dxfId="123" priority="58">
      <formula>$A$105&lt;&gt;"*"</formula>
    </cfRule>
  </conditionalFormatting>
  <conditionalFormatting sqref="A107:L107">
    <cfRule type="expression" dxfId="122" priority="34">
      <formula>$A$107&lt;&gt;"*"</formula>
    </cfRule>
  </conditionalFormatting>
  <conditionalFormatting sqref="A108:L108">
    <cfRule type="expression" dxfId="121" priority="230">
      <formula>$A$108&lt;&gt;"*"</formula>
    </cfRule>
  </conditionalFormatting>
  <conditionalFormatting sqref="A109:L109">
    <cfRule type="expression" dxfId="120" priority="68">
      <formula>$A$109&lt;&gt;"*"</formula>
    </cfRule>
  </conditionalFormatting>
  <conditionalFormatting sqref="A110:L110">
    <cfRule type="expression" dxfId="119" priority="7">
      <formula>$A$110&lt;&gt;"*"</formula>
    </cfRule>
  </conditionalFormatting>
  <conditionalFormatting sqref="A111:L111">
    <cfRule type="expression" dxfId="118" priority="6">
      <formula>$A$111&lt;&gt;"*"</formula>
    </cfRule>
  </conditionalFormatting>
  <conditionalFormatting sqref="A112:L112">
    <cfRule type="expression" dxfId="117" priority="326">
      <formula>$A$112&lt;&gt;"*"</formula>
    </cfRule>
  </conditionalFormatting>
  <conditionalFormatting sqref="A119:L119">
    <cfRule type="expression" dxfId="115" priority="9">
      <formula>$A$119&lt;&gt;"*"</formula>
    </cfRule>
  </conditionalFormatting>
  <conditionalFormatting sqref="A122:L122">
    <cfRule type="expression" dxfId="114" priority="105">
      <formula>$A$122&lt;&gt;"*"</formula>
    </cfRule>
  </conditionalFormatting>
  <conditionalFormatting sqref="A124:L124">
    <cfRule type="expression" dxfId="113" priority="229">
      <formula>$A$124&lt;&gt;"*"</formula>
    </cfRule>
  </conditionalFormatting>
  <conditionalFormatting sqref="A126:L126">
    <cfRule type="expression" dxfId="112" priority="227" stopIfTrue="1">
      <formula>$A$126&lt;&gt;"*"</formula>
    </cfRule>
  </conditionalFormatting>
  <conditionalFormatting sqref="A127:L127">
    <cfRule type="expression" dxfId="111" priority="169" stopIfTrue="1">
      <formula>$A$127&lt;&gt;"*"</formula>
    </cfRule>
  </conditionalFormatting>
  <conditionalFormatting sqref="A128:L128">
    <cfRule type="expression" dxfId="110" priority="168" stopIfTrue="1">
      <formula>$A$128&lt;&gt;"*"</formula>
    </cfRule>
  </conditionalFormatting>
  <conditionalFormatting sqref="A130:L130">
    <cfRule type="expression" dxfId="109" priority="167" stopIfTrue="1">
      <formula>$A$128&lt;&gt;"*"</formula>
    </cfRule>
  </conditionalFormatting>
  <conditionalFormatting sqref="A132:L132">
    <cfRule type="expression" dxfId="108" priority="223">
      <formula>$A$132&lt;&gt;"*"</formula>
    </cfRule>
  </conditionalFormatting>
  <conditionalFormatting sqref="A133:L133">
    <cfRule type="expression" dxfId="107" priority="19">
      <formula>$A$133&lt;&gt;"*"</formula>
    </cfRule>
  </conditionalFormatting>
  <conditionalFormatting sqref="A134:L134">
    <cfRule type="expression" dxfId="106" priority="176">
      <formula>$A$134&lt;&gt;"*"</formula>
    </cfRule>
  </conditionalFormatting>
  <conditionalFormatting sqref="A135:L135">
    <cfRule type="expression" dxfId="105" priority="12">
      <formula>$A$135&lt;&gt;"*"</formula>
    </cfRule>
  </conditionalFormatting>
  <conditionalFormatting sqref="A136:L136">
    <cfRule type="expression" dxfId="104" priority="10">
      <formula>$A$136&lt;&gt;"*"</formula>
    </cfRule>
  </conditionalFormatting>
  <conditionalFormatting sqref="A139:L139">
    <cfRule type="expression" dxfId="103" priority="225">
      <formula>$A$139&lt;&gt;"*"</formula>
    </cfRule>
  </conditionalFormatting>
  <conditionalFormatting sqref="A142:L142">
    <cfRule type="expression" dxfId="102" priority="31">
      <formula>$A$142&lt;&gt;"*"</formula>
    </cfRule>
  </conditionalFormatting>
  <conditionalFormatting sqref="A149:L149">
    <cfRule type="expression" dxfId="101" priority="29">
      <formula>$A$149&lt;&gt;"*"</formula>
    </cfRule>
  </conditionalFormatting>
  <conditionalFormatting sqref="A150:L150">
    <cfRule type="expression" dxfId="100" priority="30">
      <formula>$A$150&lt;&gt;"*"</formula>
    </cfRule>
  </conditionalFormatting>
  <conditionalFormatting sqref="A151:L151">
    <cfRule type="expression" dxfId="99" priority="60">
      <formula>$A$151&lt;&gt;"*"</formula>
    </cfRule>
  </conditionalFormatting>
  <conditionalFormatting sqref="A172:L172">
    <cfRule type="expression" dxfId="98" priority="390">
      <formula>$E$15&lt;&gt;"China"</formula>
    </cfRule>
  </conditionalFormatting>
  <conditionalFormatting sqref="A174:L174">
    <cfRule type="expression" dxfId="97" priority="199">
      <formula>$E$15&lt;&gt;"China"</formula>
    </cfRule>
  </conditionalFormatting>
  <conditionalFormatting sqref="A179:L185">
    <cfRule type="expression" dxfId="95" priority="392">
      <formula>$E$15="China"</formula>
    </cfRule>
  </conditionalFormatting>
  <conditionalFormatting sqref="A186:L187">
    <cfRule type="expression" dxfId="94" priority="15">
      <formula>OR($E$15="China",(AND($E$15="New Zealand",$G$56="New Zealand")))</formula>
    </cfRule>
  </conditionalFormatting>
  <conditionalFormatting sqref="B171:F171">
    <cfRule type="expression" dxfId="93" priority="200">
      <formula>#REF!="YES"</formula>
    </cfRule>
  </conditionalFormatting>
  <conditionalFormatting sqref="B30:K30">
    <cfRule type="expression" dxfId="92" priority="184">
      <formula>$A$30&lt;&gt;"*"</formula>
    </cfRule>
  </conditionalFormatting>
  <conditionalFormatting sqref="B136:L136">
    <cfRule type="expression" dxfId="91" priority="13">
      <formula>$H$136=blank</formula>
    </cfRule>
  </conditionalFormatting>
  <conditionalFormatting sqref="L63">
    <cfRule type="expression" dxfId="90" priority="1">
      <formula>$A$62&lt;&gt;"*"</formula>
    </cfRule>
  </conditionalFormatting>
  <dataValidations xWindow="542" yWindow="557" count="12">
    <dataValidation type="list" allowBlank="1" showInputMessage="1" showErrorMessage="1" sqref="K44 G130:K130 J41 J33:K33 J118:K118 E107 I43:K43 I23:K23 I21:K21 J38:K39 E109" xr:uid="{7560F413-84C9-44FB-A361-26EDBE52B65D}">
      <formula1>yesno</formula1>
    </dataValidation>
    <dataValidation type="list" allowBlank="1" showInputMessage="1" showErrorMessage="1" sqref="E4:K4" xr:uid="{DA6AE504-159E-4FA0-B29D-D3B86B5994AE}">
      <formula1>languages</formula1>
    </dataValidation>
    <dataValidation type="list" allowBlank="1" showInputMessage="1" showErrorMessage="1" sqref="I145 G55:K56" xr:uid="{57CBAE35-BEAE-4B07-94E2-B542C370020D}">
      <formula1>countries</formula1>
    </dataValidation>
    <dataValidation type="list" allowBlank="1" showInputMessage="1" showErrorMessage="1" sqref="G76 G90" xr:uid="{E35389E4-34DD-4889-9829-AE7C244850AF}">
      <formula1>INDIRECT(indprov)</formula1>
    </dataValidation>
    <dataValidation type="list" allowBlank="1" showInputMessage="1" showErrorMessage="1" sqref="I121" xr:uid="{54E6AE4A-5D6B-49BD-89D9-4FAB4E6D7D6B}">
      <formula1>GSTYN</formula1>
    </dataValidation>
    <dataValidation type="list" allowBlank="1" showInputMessage="1" showErrorMessage="1" sqref="J121:K121" xr:uid="{180B8C0A-A70E-47FE-B51E-47DCBCDF997E}">
      <formula1>QSTYN</formula1>
    </dataValidation>
    <dataValidation type="list" allowBlank="1" showInputMessage="1" showErrorMessage="1" sqref="G134:K134" xr:uid="{DDBF31E7-31AD-4A44-8465-933BC38FD014}">
      <formula1>INDIRECT(indspainvat)</formula1>
    </dataValidation>
    <dataValidation type="list" allowBlank="1" showInputMessage="1" showErrorMessage="1" sqref="D162:F162" xr:uid="{6AF905CD-5204-4FCD-BEA4-E7989055CBBA}">
      <formula1>INDIRECT(indaccttype1)</formula1>
    </dataValidation>
    <dataValidation type="list" allowBlank="1" showInputMessage="1" showErrorMessage="1" sqref="H27:K27" xr:uid="{220D9666-68C9-4603-9FA3-A8F4C8CE5851}">
      <formula1>icspend</formula1>
    </dataValidation>
    <dataValidation type="list" allowBlank="1" showInputMessage="1" showErrorMessage="1" sqref="G112:K112" xr:uid="{39F932F3-C082-4973-8AA8-885A6554E53E}">
      <formula1>munichvat</formula1>
    </dataValidation>
    <dataValidation type="list" allowBlank="1" showInputMessage="1" showErrorMessage="1" sqref="G121:H121" xr:uid="{3C7CA474-D650-43D8-B268-532AA2D3D0CE}">
      <formula1>HSTYN</formula1>
    </dataValidation>
    <dataValidation type="list" allowBlank="1" showInputMessage="1" showErrorMessage="1" errorTitle="Incorrect Value" error="Please select an Independent Contractor/Freelancer Location from the drop down list. " sqref="H26" xr:uid="{11D268F2-E0D2-4A66-A219-210B56EFA22D}">
      <formula1>iclocation</formula1>
    </dataValidation>
  </dataValidations>
  <hyperlinks>
    <hyperlink ref="E139:K139" location="'W8-W9 - US'!A1" display="Click here" xr:uid="{5107A647-79CE-4BDF-9CDE-8D7895708A63}"/>
    <hyperlink ref="E132:K132" location="'India Registrations - India'!A1" display="Click to Submit India Registrations" xr:uid="{E5FE5CAC-C403-4195-AC8E-541E977F85E6}"/>
    <hyperlink ref="K49" location="'Invoicing Requirements'!A2" display="Click" xr:uid="{586D4DC4-7A7B-4319-9BD1-B4505C8081AC}"/>
  </hyperlinks>
  <printOptions horizontalCentered="1"/>
  <pageMargins left="0.25" right="0.25" top="0.25" bottom="0.25" header="0.3" footer="0.3"/>
  <pageSetup paperSize="9" scale="90" orientation="portrait" r:id="rId1"/>
  <ignoredErrors>
    <ignoredError sqref="A154 A158" formula="1"/>
    <ignoredError sqref="G63 J63" unlocked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256" id="{B9D780E6-51EF-4302-A10F-B58DBDCFEFFD}">
            <xm:f>Conditions!$T$1=0</xm:f>
            <x14:dxf>
              <font>
                <color rgb="FFDCDCDC"/>
              </font>
              <fill>
                <patternFill>
                  <bgColor rgb="FFDCDCDC"/>
                </patternFill>
              </fill>
            </x14:dxf>
          </x14:cfRule>
          <x14:cfRule type="expression" priority="257" id="{8DC23F76-C13D-4EC9-825A-3EDC7DBEC0A4}">
            <xm:f>Conditions!$R$1=0</xm:f>
            <x14:dxf>
              <font>
                <color rgb="FFDCDCDC"/>
              </font>
              <fill>
                <patternFill>
                  <bgColor rgb="FFDCDCDC"/>
                </patternFill>
              </fill>
            </x14:dxf>
          </x14:cfRule>
          <xm:sqref>A153:K153</xm:sqref>
        </x14:conditionalFormatting>
        <x14:conditionalFormatting xmlns:xm="http://schemas.microsoft.com/office/excel/2006/main">
          <x14:cfRule type="expression" priority="255" id="{9DDA5A45-5894-460F-B6D7-135663D821DC}">
            <xm:f>Conditions!$V$1=0</xm:f>
            <x14:dxf>
              <font>
                <color rgb="FFDCDCDC"/>
              </font>
              <fill>
                <patternFill>
                  <bgColor rgb="FFDCDCDC"/>
                </patternFill>
              </fill>
            </x14:dxf>
          </x14:cfRule>
          <x14:cfRule type="expression" priority="254" id="{E3CD9907-7674-4509-8EEC-676D5A483998}">
            <xm:f>Conditions!$W$1=0</xm:f>
            <x14:dxf>
              <font>
                <color rgb="FFDCDCDC"/>
              </font>
              <fill>
                <patternFill>
                  <bgColor rgb="FFDCDCDC"/>
                </patternFill>
              </fill>
            </x14:dxf>
          </x14:cfRule>
          <xm:sqref>A154:K154</xm:sqref>
        </x14:conditionalFormatting>
        <x14:conditionalFormatting xmlns:xm="http://schemas.microsoft.com/office/excel/2006/main">
          <x14:cfRule type="expression" priority="250" id="{4F30CDE6-132E-4640-8FC9-6B33C8B3AACD}">
            <xm:f>Conditions!$AC$1=0</xm:f>
            <x14:dxf>
              <font>
                <color rgb="FFDCDCDC"/>
              </font>
              <fill>
                <patternFill>
                  <bgColor rgb="FFDCDCDC"/>
                </patternFill>
              </fill>
            </x14:dxf>
          </x14:cfRule>
          <xm:sqref>A158:K158</xm:sqref>
        </x14:conditionalFormatting>
        <x14:conditionalFormatting xmlns:xm="http://schemas.microsoft.com/office/excel/2006/main">
          <x14:cfRule type="expression" priority="3" id="{4A375869-2836-4FAE-85D2-0338399B1F91}">
            <xm:f>$D$19=Languages!$L$127</xm:f>
            <x14:dxf>
              <font>
                <color theme="0" tint="-0.14996795556505021"/>
              </font>
              <fill>
                <patternFill>
                  <bgColor theme="0" tint="-0.14996795556505021"/>
                </patternFill>
              </fill>
            </x14:dxf>
          </x14:cfRule>
          <xm:sqref>A37:L40</xm:sqref>
        </x14:conditionalFormatting>
        <x14:conditionalFormatting xmlns:xm="http://schemas.microsoft.com/office/excel/2006/main">
          <x14:cfRule type="expression" priority="2" id="{F8F5A673-6CBD-4650-9DE7-982CC9D06CEE}">
            <xm:f>$D$19=Languages!$L$127</xm:f>
            <x14:dxf>
              <font>
                <color theme="0" tint="-0.14996795556505021"/>
              </font>
              <fill>
                <patternFill>
                  <bgColor theme="0" tint="-0.14996795556505021"/>
                </patternFill>
              </fill>
            </x14:dxf>
          </x14:cfRule>
          <xm:sqref>A59:L61</xm:sqref>
        </x14:conditionalFormatting>
        <x14:conditionalFormatting xmlns:xm="http://schemas.microsoft.com/office/excel/2006/main">
          <x14:cfRule type="expression" priority="8" id="{699CF76B-1AEA-4663-97C4-22E736ADB3E7}">
            <xm:f>$E$14&lt;&gt;'Drop Down Lists'!$M$4</xm:f>
            <x14:dxf>
              <font>
                <color theme="0" tint="-0.14996795556505021"/>
              </font>
              <fill>
                <patternFill>
                  <bgColor theme="0" tint="-0.14996795556505021"/>
                </patternFill>
              </fill>
            </x14:dxf>
          </x14:cfRule>
          <xm:sqref>A114:L118</xm:sqref>
        </x14:conditionalFormatting>
        <x14:conditionalFormatting xmlns:xm="http://schemas.microsoft.com/office/excel/2006/main">
          <x14:cfRule type="expression" priority="88" id="{6BCF4F1B-2BD6-4975-812E-10E70876AD30}">
            <xm:f>Conditions!$E$19=0</xm:f>
            <x14:dxf>
              <font>
                <color theme="0" tint="-0.14996795556505021"/>
              </font>
              <fill>
                <patternFill>
                  <bgColor theme="0" tint="-0.14996795556505021"/>
                </patternFill>
              </fill>
            </x14:dxf>
          </x14:cfRule>
          <xm:sqref>A177:L178</xm:sqref>
        </x14:conditionalFormatting>
      </x14:conditionalFormattings>
    </ext>
    <ext xmlns:x14="http://schemas.microsoft.com/office/spreadsheetml/2009/9/main" uri="{CCE6A557-97BC-4b89-ADB6-D9C93CAAB3DF}">
      <x14:dataValidations xmlns:xm="http://schemas.microsoft.com/office/excel/2006/main" xWindow="542" yWindow="557" count="28">
        <x14:dataValidation type="list" allowBlank="1" showErrorMessage="1" errorTitle="Incorrect Value" error="You have entered an incorrect value for this field.  Please select a value from the drop down list." xr:uid="{D11D768C-9A8F-4B94-B0C9-7B3DFC607EBE}">
          <x14:formula1>
            <xm:f>'Drop Down Lists'!$B$1:$B$4</xm:f>
          </x14:formula1>
          <xm:sqref>E9:K9</xm:sqref>
        </x14:dataValidation>
        <x14:dataValidation type="list" allowBlank="1" showInputMessage="1" showErrorMessage="1" xr:uid="{40FA8AD4-A75F-4DC4-8FC9-A5BB1473756E}">
          <x14:formula1>
            <xm:f>'Drop Down Lists'!$G$1:$G$3</xm:f>
          </x14:formula1>
          <xm:sqref>G64:K64</xm:sqref>
        </x14:dataValidation>
        <x14:dataValidation type="list" allowBlank="1" showInputMessage="1" showErrorMessage="1" xr:uid="{2FE19BC0-98AF-4B14-80BB-CB4D63FDC3F9}">
          <x14:formula1>
            <xm:f>'Drop Down Lists'!$H$1:$H$6</xm:f>
          </x14:formula1>
          <xm:sqref>G124:K124</xm:sqref>
        </x14:dataValidation>
        <x14:dataValidation type="list" allowBlank="1" showInputMessage="1" showErrorMessage="1" xr:uid="{EDFDEA57-31AA-41C1-88D6-ACC4E7FAE1B9}">
          <x14:formula1>
            <xm:f>'Drop Down Lists'!$I$1:$I$22</xm:f>
          </x14:formula1>
          <xm:sqref>G126:K126</xm:sqref>
        </x14:dataValidation>
        <x14:dataValidation type="list" allowBlank="1" showInputMessage="1" showErrorMessage="1" xr:uid="{00659F49-99F6-4745-BD08-74E3A62CE8A3}">
          <x14:formula1>
            <xm:f>'Drop Down Lists'!$C$1:$C$4</xm:f>
          </x14:formula1>
          <xm:sqref>E17:K18</xm:sqref>
        </x14:dataValidation>
        <x14:dataValidation type="list" allowBlank="1" showInputMessage="1" showErrorMessage="1" xr:uid="{4940D764-51D1-41C9-AF16-D39D1DD23D89}">
          <x14:formula1>
            <xm:f>'Drop Down Lists'!$J$1:$J$18</xm:f>
          </x14:formula1>
          <xm:sqref>G127:K127</xm:sqref>
        </x14:dataValidation>
        <x14:dataValidation type="list" allowBlank="1" showInputMessage="1" showErrorMessage="1" xr:uid="{B9C2B02D-9499-4B67-9A00-898B84D50F4E}">
          <x14:formula1>
            <xm:f>'Drop Down Lists'!$AM$1:$AM$35</xm:f>
          </x14:formula1>
          <xm:sqref>G77:K77</xm:sqref>
        </x14:dataValidation>
        <x14:dataValidation type="list" allowBlank="1" showInputMessage="1" showErrorMessage="1" xr:uid="{2BD12131-D121-4404-91FC-442A861B00AF}">
          <x14:formula1>
            <xm:f>'Drop Down Lists'!$AN$1:$AN$5</xm:f>
          </x14:formula1>
          <xm:sqref>D18</xm:sqref>
        </x14:dataValidation>
        <x14:dataValidation type="list" allowBlank="1" showInputMessage="1" showErrorMessage="1" xr:uid="{6F2BCEFB-4C97-4135-9729-71CE09707923}">
          <x14:formula1>
            <xm:f>'Drop Down Lists'!$AK$2:$AK$4</xm:f>
          </x14:formula1>
          <xm:sqref>D163:F163</xm:sqref>
        </x14:dataValidation>
        <x14:dataValidation type="list" allowBlank="1" showInputMessage="1" showErrorMessage="1" xr:uid="{785758A9-1C70-4F5B-8419-F50458307DC7}">
          <x14:formula1>
            <xm:f>'Drop Down Lists'!$AO$1:$AO$3</xm:f>
          </x14:formula1>
          <xm:sqref>D17:K17</xm:sqref>
        </x14:dataValidation>
        <x14:dataValidation type="list" allowBlank="1" showInputMessage="1" showErrorMessage="1" xr:uid="{CC0EFC6B-AE75-442A-9718-AC68764522D3}">
          <x14:formula1>
            <xm:f>'Drop Down Lists'!$AL$2:$AL$4</xm:f>
          </x14:formula1>
          <xm:sqref>D164:F164</xm:sqref>
        </x14:dataValidation>
        <x14:dataValidation type="list" allowBlank="1" showInputMessage="1" showErrorMessage="1" xr:uid="{948FDC6E-47F0-4852-9FF5-DD9B6DA01FF4}">
          <x14:formula1>
            <xm:f>'Drop Down Lists'!$S$1:$S$5</xm:f>
          </x14:formula1>
          <xm:sqref>G62:K62</xm:sqref>
        </x14:dataValidation>
        <x14:dataValidation type="list" allowBlank="1" showInputMessage="1" showErrorMessage="1" xr:uid="{7DFB06DD-052C-4D92-A68E-635A665C2377}">
          <x14:formula1>
            <xm:f>'Drop Down Lists'!$K$1:$K$6</xm:f>
          </x14:formula1>
          <xm:sqref>G128:K128</xm:sqref>
        </x14:dataValidation>
        <x14:dataValidation type="list" allowBlank="1" showInputMessage="1" showErrorMessage="1" xr:uid="{47297875-97A1-42E0-8BB9-0A3B2711CA2E}">
          <x14:formula1>
            <xm:f>'Drop Down Lists'!$C$1:$C$6</xm:f>
          </x14:formula1>
          <xm:sqref>E12:K12</xm:sqref>
        </x14:dataValidation>
        <x14:dataValidation type="list" allowBlank="1" showInputMessage="1" showErrorMessage="1" xr:uid="{F51A5054-25D5-4B19-8C9F-D82D1884BA17}">
          <x14:formula1>
            <xm:f>'Drop Down Lists'!$B$22:$B$25</xm:f>
          </x14:formula1>
          <xm:sqref>E20</xm:sqref>
        </x14:dataValidation>
        <x14:dataValidation type="list" allowBlank="1" showInputMessage="1" showErrorMessage="1" xr:uid="{F568F4DC-84DB-4688-A531-CEF732DD3BB1}">
          <x14:formula1>
            <xm:f>'VM Team Conditions'!$A$31:$A$33</xm:f>
          </x14:formula1>
          <xm:sqref>F22:H25 I22:K22 I24:K24</xm:sqref>
        </x14:dataValidation>
        <x14:dataValidation type="list" allowBlank="1" showInputMessage="1" showErrorMessage="1" xr:uid="{BA461184-19C8-40DD-A027-B17C859D06F3}">
          <x14:formula1>
            <xm:f>'VM Team Conditions'!$A$37:$A$40</xm:f>
          </x14:formula1>
          <xm:sqref>I25:K25</xm:sqref>
        </x14:dataValidation>
        <x14:dataValidation type="list" allowBlank="1" showInputMessage="1" showErrorMessage="1" xr:uid="{C29446B8-B253-4EC9-BEF0-BDC641E28A20}">
          <x14:formula1>
            <xm:f>'Drop Down Lists'!$AF$3:$AF$24</xm:f>
          </x14:formula1>
          <xm:sqref>G142:K142 I148:K149</xm:sqref>
        </x14:dataValidation>
        <x14:dataValidation type="list" allowBlank="1" showInputMessage="1" showErrorMessage="1" xr:uid="{663413F4-0EA7-4FA2-B87E-2E29224974C3}">
          <x14:formula1>
            <xm:f>'Drop Down Lists'!$M$1:$M$5</xm:f>
          </x14:formula1>
          <xm:sqref>E14:K14</xm:sqref>
        </x14:dataValidation>
        <x14:dataValidation type="list" allowBlank="1" showInputMessage="1" showErrorMessage="1" xr:uid="{76A9E357-36B9-4D90-9E80-80A35EAEBBCC}">
          <x14:formula1>
            <xm:f>'Drop Down Lists'!$F$17:$F$23</xm:f>
          </x14:formula1>
          <xm:sqref>H37:K37</xm:sqref>
        </x14:dataValidation>
        <x14:dataValidation type="list" allowBlank="1" showInputMessage="1" showErrorMessage="1" xr:uid="{6550824B-B847-4F38-9E3A-A9A7E8B8D601}">
          <x14:formula1>
            <xm:f>'Drop Down Lists'!$G$17:$G$20</xm:f>
          </x14:formula1>
          <xm:sqref>J40:K40</xm:sqref>
        </x14:dataValidation>
        <x14:dataValidation type="list" allowBlank="1" showInputMessage="1" showErrorMessage="1" xr:uid="{2F09FAAA-7C00-44E2-8E4F-5AE6EA873C47}">
          <x14:formula1>
            <xm:f>'Drop Down Lists'!$B$49:$B$97</xm:f>
          </x14:formula1>
          <xm:sqref>E16:K16</xm:sqref>
        </x14:dataValidation>
        <x14:dataValidation type="list" allowBlank="1" showInputMessage="1" showErrorMessage="1" xr:uid="{928A146A-934C-4363-B7AE-E16289FB7880}">
          <x14:formula1>
            <xm:f>'Drop Down Lists'!$C$49:$C$57</xm:f>
          </x14:formula1>
          <xm:sqref>G58:K58</xm:sqref>
        </x14:dataValidation>
        <x14:dataValidation type="list" showInputMessage="1" showErrorMessage="1" errorTitle="Incorrect Value" error="You have entered an incorrect value for this field.  Select a valid option from the drop down list." xr:uid="{A6663053-2841-4D5F-B789-B17BE0678FCC}">
          <x14:formula1>
            <xm:f>'Drop Down Lists'!$D$1:$D$20</xm:f>
          </x14:formula1>
          <xm:sqref>D19:K19</xm:sqref>
        </x14:dataValidation>
        <x14:dataValidation type="list" allowBlank="1" showInputMessage="1" showErrorMessage="1" xr:uid="{1DF48B8B-1EC6-4EFC-B8B9-654D3AA21C29}">
          <x14:formula1>
            <xm:f>'Drop Down Lists'!$D$54:$D$64</xm:f>
          </x14:formula1>
          <xm:sqref>G59:K59</xm:sqref>
        </x14:dataValidation>
        <x14:dataValidation type="list" allowBlank="1" showInputMessage="1" showErrorMessage="1" xr:uid="{FDD6EF39-CA14-4967-9435-D7E3F9F96C74}">
          <x14:formula1>
            <xm:f>'Drop Down Lists'!$AP$2:$AP$52</xm:f>
          </x14:formula1>
          <xm:sqref>G71:K71</xm:sqref>
        </x14:dataValidation>
        <x14:dataValidation type="list" allowBlank="1" showInputMessage="1" showErrorMessage="1" xr:uid="{B5B7C0DF-8E65-4082-AFFC-D302CFA77368}">
          <x14:formula1>
            <xm:f>'Drop Down Lists'!$N$1:$N$28</xm:f>
          </x14:formula1>
          <xm:sqref>E15:K15</xm:sqref>
        </x14:dataValidation>
        <x14:dataValidation type="list" allowBlank="1" showInputMessage="1" showErrorMessage="1" xr:uid="{B4391382-507C-4E59-B46C-03C823AFE6D9}">
          <x14:formula1>
            <xm:f>'Drop Down Lists'!$L$52:$L$71</xm:f>
          </x14:formula1>
          <xm:sqref>C61:L61</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657A7B-C781-4F85-BA63-854457CCE109}">
  <sheetPr codeName="Sheet4"/>
  <dimension ref="A1:E18"/>
  <sheetViews>
    <sheetView showGridLines="0" workbookViewId="0"/>
  </sheetViews>
  <sheetFormatPr baseColWidth="10" defaultColWidth="8.6640625" defaultRowHeight="14.4"/>
  <cols>
    <col min="1" max="2" width="3" customWidth="1"/>
    <col min="3" max="3" width="64" customWidth="1"/>
    <col min="4" max="4" width="80.88671875" customWidth="1"/>
  </cols>
  <sheetData>
    <row r="1" spans="1:5">
      <c r="B1" s="661" t="s">
        <v>2309</v>
      </c>
      <c r="C1" s="661"/>
    </row>
    <row r="2" spans="1:5" ht="15" thickBot="1">
      <c r="A2" s="69"/>
      <c r="B2" s="69"/>
      <c r="C2" s="70"/>
    </row>
    <row r="3" spans="1:5">
      <c r="A3" s="69"/>
      <c r="B3" s="71"/>
      <c r="C3" s="650"/>
      <c r="D3" s="651"/>
    </row>
    <row r="4" spans="1:5" ht="117" customHeight="1">
      <c r="A4" s="69"/>
      <c r="B4" s="72"/>
      <c r="C4" s="652" t="s">
        <v>2351</v>
      </c>
      <c r="D4" s="653"/>
    </row>
    <row r="5" spans="1:5" ht="21">
      <c r="A5" s="69"/>
      <c r="B5" s="72"/>
      <c r="C5" s="654" t="s">
        <v>2352</v>
      </c>
      <c r="D5" s="655"/>
      <c r="E5" s="73"/>
    </row>
    <row r="6" spans="1:5" ht="27" customHeight="1">
      <c r="A6" s="69"/>
      <c r="B6" s="72"/>
      <c r="C6" s="74" t="s">
        <v>2353</v>
      </c>
      <c r="D6" s="648" t="s">
        <v>2354</v>
      </c>
    </row>
    <row r="7" spans="1:5" ht="27" customHeight="1">
      <c r="A7" s="69"/>
      <c r="B7" s="72"/>
      <c r="C7" s="75" t="s">
        <v>2355</v>
      </c>
      <c r="D7" s="656"/>
    </row>
    <row r="8" spans="1:5">
      <c r="A8" s="69"/>
      <c r="B8" s="72"/>
      <c r="C8" s="657"/>
      <c r="D8" s="658"/>
    </row>
    <row r="9" spans="1:5" ht="21">
      <c r="A9" s="69"/>
      <c r="B9" s="72"/>
      <c r="C9" s="659" t="s">
        <v>2356</v>
      </c>
      <c r="D9" s="660"/>
    </row>
    <row r="10" spans="1:5" ht="27" customHeight="1">
      <c r="A10" s="69"/>
      <c r="B10" s="72"/>
      <c r="C10" s="74" t="s">
        <v>2357</v>
      </c>
      <c r="D10" s="648" t="s">
        <v>2358</v>
      </c>
    </row>
    <row r="11" spans="1:5" ht="27" customHeight="1">
      <c r="A11" s="69"/>
      <c r="B11" s="72"/>
      <c r="C11" s="75" t="s">
        <v>2359</v>
      </c>
      <c r="D11" s="656"/>
    </row>
    <row r="12" spans="1:5" ht="15" thickBot="1">
      <c r="A12" s="69"/>
      <c r="B12" s="76"/>
      <c r="C12" s="662"/>
      <c r="D12" s="663"/>
    </row>
    <row r="13" spans="1:5" ht="71.099999999999994" customHeight="1" thickBot="1">
      <c r="A13" s="69"/>
      <c r="B13" s="69"/>
      <c r="C13" s="142" t="s">
        <v>2360</v>
      </c>
    </row>
    <row r="14" spans="1:5" s="69" customFormat="1">
      <c r="B14" s="71"/>
      <c r="C14" s="664"/>
      <c r="D14" s="665"/>
    </row>
    <row r="15" spans="1:5" s="69" customFormat="1" ht="21">
      <c r="B15" s="72"/>
      <c r="C15" s="654" t="s">
        <v>2361</v>
      </c>
      <c r="D15" s="655"/>
    </row>
    <row r="16" spans="1:5" s="69" customFormat="1" ht="189.75" customHeight="1">
      <c r="B16" s="72"/>
      <c r="C16" s="646" t="s">
        <v>2362</v>
      </c>
      <c r="D16" s="647"/>
    </row>
    <row r="17" spans="2:4" s="69" customFormat="1" ht="49.5" customHeight="1">
      <c r="B17" s="72"/>
      <c r="C17" s="77" t="s">
        <v>2363</v>
      </c>
      <c r="D17" s="648" t="s">
        <v>2364</v>
      </c>
    </row>
    <row r="18" spans="2:4" s="69" customFormat="1" ht="15" thickBot="1">
      <c r="B18" s="76"/>
      <c r="C18" s="78"/>
      <c r="D18" s="649"/>
    </row>
  </sheetData>
  <mergeCells count="13">
    <mergeCell ref="B1:C1"/>
    <mergeCell ref="D10:D11"/>
    <mergeCell ref="C12:D12"/>
    <mergeCell ref="C14:D14"/>
    <mergeCell ref="C15:D15"/>
    <mergeCell ref="C16:D16"/>
    <mergeCell ref="D17:D18"/>
    <mergeCell ref="C3:D3"/>
    <mergeCell ref="C4:D4"/>
    <mergeCell ref="C5:D5"/>
    <mergeCell ref="D6:D7"/>
    <mergeCell ref="C8:D8"/>
    <mergeCell ref="C9:D9"/>
  </mergeCells>
  <hyperlinks>
    <hyperlink ref="C10" r:id="rId1" xr:uid="{28FDE1F9-6673-4647-9801-817F4E537F6D}"/>
    <hyperlink ref="C11" r:id="rId2" xr:uid="{E3920761-4994-4F16-96E0-8B12829EE9B9}"/>
    <hyperlink ref="C6" r:id="rId3" xr:uid="{4F6DC2BD-489F-4753-B1C4-6B1906CC7992}"/>
    <hyperlink ref="C7" r:id="rId4" xr:uid="{E13E8FAF-58D5-4E17-9404-1FDF3168D4DB}"/>
    <hyperlink ref="C17" r:id="rId5" xr:uid="{C04B1FE8-52DE-4AD0-94F0-0F36800496F7}"/>
    <hyperlink ref="B1" location="Form!A1" display="Return to supplier form" xr:uid="{691E6D11-701E-4FF6-806E-8DE2B96C7EA8}"/>
    <hyperlink ref="B1:C1" location="Form!A126" display="Return to supplier form" xr:uid="{D8FC64B5-223B-423B-A382-F26029EFF415}"/>
  </hyperlinks>
  <pageMargins left="0.7" right="0.7" top="0.75" bottom="0.75" header="0.3" footer="0.3"/>
  <pageSetup orientation="portrait" horizontalDpi="4294967293" verticalDpi="4294967293" r:id="rId6"/>
  <drawing r:id="rId7"/>
  <legacyDrawing r:id="rId8"/>
  <oleObjects>
    <mc:AlternateContent xmlns:mc="http://schemas.openxmlformats.org/markup-compatibility/2006">
      <mc:Choice Requires="x14">
        <oleObject progId="Document" dvAspect="DVASPECT_ICON" shapeId="26625" r:id="rId9">
          <objectPr defaultSize="0" autoPict="0" r:id="rId10">
            <anchor moveWithCells="1">
              <from>
                <xdr:col>3</xdr:col>
                <xdr:colOff>533400</xdr:colOff>
                <xdr:row>12</xdr:row>
                <xdr:rowOff>114300</xdr:rowOff>
              </from>
              <to>
                <xdr:col>3</xdr:col>
                <xdr:colOff>1554480</xdr:colOff>
                <xdr:row>12</xdr:row>
                <xdr:rowOff>800100</xdr:rowOff>
              </to>
            </anchor>
          </objectPr>
        </oleObject>
      </mc:Choice>
      <mc:Fallback>
        <oleObject progId="Document" dvAspect="DVASPECT_ICON" shapeId="26625" r:id="rId9"/>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F743AF-C1E9-4FE4-80A5-4714CF442A3D}">
  <sheetPr codeName="Sheet9"/>
  <dimension ref="B1:B10"/>
  <sheetViews>
    <sheetView workbookViewId="0"/>
  </sheetViews>
  <sheetFormatPr baseColWidth="10" defaultColWidth="8.6640625" defaultRowHeight="14.4"/>
  <cols>
    <col min="1" max="1" width="3" customWidth="1"/>
    <col min="2" max="2" width="62.44140625" customWidth="1"/>
    <col min="3" max="3" width="22.33203125" customWidth="1"/>
  </cols>
  <sheetData>
    <row r="1" spans="2:2">
      <c r="B1" s="108" t="s">
        <v>2309</v>
      </c>
    </row>
    <row r="3" spans="2:2" ht="69.900000000000006" customHeight="1">
      <c r="B3" s="168" t="str">
        <f>Languages!L8</f>
        <v>RELX Global Invoicing Requirements</v>
      </c>
    </row>
    <row r="6" spans="2:2">
      <c r="B6" s="248" t="s">
        <v>2365</v>
      </c>
    </row>
    <row r="8" spans="2:2">
      <c r="B8" s="108" t="s">
        <v>2366</v>
      </c>
    </row>
    <row r="10" spans="2:2">
      <c r="B10" s="108" t="s">
        <v>2367</v>
      </c>
    </row>
  </sheetData>
  <hyperlinks>
    <hyperlink ref="B1" location="Form!B47" display="Return to supplier form" xr:uid="{09C3E8F9-4041-4BBC-B7A9-18BF31C4FF68}"/>
    <hyperlink ref="B6" location="'LN France Form'!A41" display="Return to LN France form" xr:uid="{8FBE70DC-1281-4AA9-ABEE-F842F85C5EFD}"/>
    <hyperlink ref="B8" location="'LN Austria Germany Form'!B38" display="Return to LN Austria Germany Form" xr:uid="{EC09BE83-8E1E-4A78-BD0C-936AE3C5498D}"/>
    <hyperlink ref="B10" location="'LN South Africa Form'!B38" display="Return to LN South Africa Form" xr:uid="{CBA35AF1-4AB2-4EA4-A71B-9972241C59B8}"/>
  </hyperlinks>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dvAspect="DVASPECT_ICON" shapeId="20486" r:id="rId4">
          <objectPr defaultSize="0" r:id="rId5">
            <anchor moveWithCells="1">
              <from>
                <xdr:col>2</xdr:col>
                <xdr:colOff>259080</xdr:colOff>
                <xdr:row>2</xdr:row>
                <xdr:rowOff>121920</xdr:rowOff>
              </from>
              <to>
                <xdr:col>2</xdr:col>
                <xdr:colOff>1173480</xdr:colOff>
                <xdr:row>2</xdr:row>
                <xdr:rowOff>807720</xdr:rowOff>
              </to>
            </anchor>
          </objectPr>
        </oleObject>
      </mc:Choice>
      <mc:Fallback>
        <oleObject progId="Acrobat Document" dvAspect="DVASPECT_ICON" shapeId="20486" r:id="rId4"/>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E6CB00-1D7A-47EB-B509-B90BF46B5B95}">
  <sheetPr codeName="Sheet21"/>
  <dimension ref="A1:AP496"/>
  <sheetViews>
    <sheetView topLeftCell="C23" workbookViewId="0">
      <selection activeCell="E38" sqref="E38"/>
    </sheetView>
  </sheetViews>
  <sheetFormatPr baseColWidth="10" defaultColWidth="9.109375" defaultRowHeight="13.8"/>
  <cols>
    <col min="1" max="1" width="13.44140625" style="3" bestFit="1" customWidth="1"/>
    <col min="2" max="2" width="25.5546875" style="3" bestFit="1" customWidth="1"/>
    <col min="3" max="3" width="27.5546875" style="3" bestFit="1" customWidth="1"/>
    <col min="4" max="4" width="55.44140625" style="105" bestFit="1" customWidth="1"/>
    <col min="5" max="5" width="42.5546875" style="3" bestFit="1" customWidth="1"/>
    <col min="6" max="6" width="25.88671875" style="3" bestFit="1" customWidth="1"/>
    <col min="7" max="7" width="24.5546875" style="3" customWidth="1"/>
    <col min="8" max="8" width="26.44140625" style="3" bestFit="1" customWidth="1"/>
    <col min="9" max="9" width="36.5546875" style="3" bestFit="1" customWidth="1"/>
    <col min="10" max="10" width="36.5546875" style="3" customWidth="1"/>
    <col min="11" max="11" width="14.88671875" style="3" customWidth="1"/>
    <col min="12" max="12" width="99.88671875" style="3" bestFit="1" customWidth="1"/>
    <col min="13" max="13" width="48.88671875" style="3" customWidth="1"/>
    <col min="14" max="14" width="37.5546875" style="3" bestFit="1" customWidth="1"/>
    <col min="15" max="15" width="14" style="3" bestFit="1" customWidth="1"/>
    <col min="16" max="16" width="11.88671875" style="3" bestFit="1" customWidth="1"/>
    <col min="17" max="17" width="21.44140625" style="3" bestFit="1" customWidth="1"/>
    <col min="18" max="18" width="13.88671875" style="3" bestFit="1" customWidth="1"/>
    <col min="19" max="19" width="25.88671875" style="3" bestFit="1" customWidth="1"/>
    <col min="20" max="20" width="25.88671875" style="3" customWidth="1"/>
    <col min="21" max="21" width="38.44140625" style="3" bestFit="1" customWidth="1"/>
    <col min="22" max="22" width="17.44140625" style="3" bestFit="1" customWidth="1"/>
    <col min="23" max="23" width="25.109375" style="3" bestFit="1" customWidth="1"/>
    <col min="24" max="24" width="31" style="3" bestFit="1" customWidth="1"/>
    <col min="25" max="25" width="12.5546875" style="3" bestFit="1" customWidth="1"/>
    <col min="26" max="26" width="18.44140625" style="3" bestFit="1" customWidth="1"/>
    <col min="27" max="28" width="7.88671875" style="3" bestFit="1" customWidth="1"/>
    <col min="29" max="29" width="8" style="3" bestFit="1" customWidth="1"/>
    <col min="30" max="30" width="28.5546875" style="3" bestFit="1" customWidth="1"/>
    <col min="31" max="31" width="18.44140625" style="3" customWidth="1"/>
    <col min="32" max="32" width="21.5546875" style="3" customWidth="1"/>
    <col min="33" max="35" width="21.88671875" style="3" bestFit="1" customWidth="1"/>
    <col min="36" max="36" width="12.44140625" style="3" bestFit="1" customWidth="1"/>
    <col min="37" max="37" width="26.88671875" style="3" bestFit="1" customWidth="1"/>
    <col min="38" max="38" width="25.5546875" style="3" bestFit="1" customWidth="1"/>
    <col min="39" max="39" width="19.5546875" style="3" bestFit="1" customWidth="1"/>
    <col min="40" max="40" width="60.44140625" style="3" bestFit="1" customWidth="1"/>
    <col min="41" max="41" width="13.88671875" style="3" customWidth="1"/>
    <col min="42" max="42" width="12.44140625" style="3" bestFit="1" customWidth="1"/>
    <col min="43" max="16384" width="9.109375" style="3"/>
  </cols>
  <sheetData>
    <row r="1" spans="1:42" ht="14.4">
      <c r="A1" s="3" t="str">
        <f>Languages!L151</f>
        <v>Select Yes or No</v>
      </c>
      <c r="B1" s="3" t="str">
        <f>Languages!L108</f>
        <v>Select One…</v>
      </c>
      <c r="C1" s="3" t="str">
        <f>Languages!L108</f>
        <v>Select One…</v>
      </c>
      <c r="D1" s="105" t="s">
        <v>2</v>
      </c>
      <c r="E1" s="3" t="str">
        <f>Languages!L108</f>
        <v>Select One…</v>
      </c>
      <c r="F1" s="3" t="str">
        <f>Languages!L108</f>
        <v>Select One…</v>
      </c>
      <c r="G1" s="3" t="str">
        <f>Languages!L108</f>
        <v>Select One…</v>
      </c>
      <c r="H1" s="3" t="s">
        <v>2</v>
      </c>
      <c r="I1" s="3" t="s">
        <v>2</v>
      </c>
      <c r="J1" s="3" t="s">
        <v>2</v>
      </c>
      <c r="K1" s="3" t="s">
        <v>2</v>
      </c>
      <c r="L1" s="3" t="s">
        <v>2</v>
      </c>
      <c r="M1" s="6" t="s">
        <v>2</v>
      </c>
      <c r="N1" s="6" t="s">
        <v>2</v>
      </c>
      <c r="O1" s="6" t="s">
        <v>2</v>
      </c>
      <c r="P1" s="6" t="s">
        <v>2</v>
      </c>
      <c r="Q1" s="6" t="s">
        <v>2</v>
      </c>
      <c r="R1" s="6" t="s">
        <v>2</v>
      </c>
      <c r="S1" s="6" t="str">
        <f>Languages!L108</f>
        <v>Select One…</v>
      </c>
      <c r="T1" s="6" t="s">
        <v>2368</v>
      </c>
      <c r="U1" s="6" t="s">
        <v>12</v>
      </c>
      <c r="V1" s="6"/>
      <c r="W1" t="s">
        <v>2369</v>
      </c>
      <c r="X1" t="s">
        <v>2370</v>
      </c>
      <c r="Y1" s="3" t="s">
        <v>2371</v>
      </c>
      <c r="Z1" s="3" t="s">
        <v>2372</v>
      </c>
      <c r="AA1" s="666" t="s">
        <v>2373</v>
      </c>
      <c r="AB1" s="667"/>
      <c r="AC1" s="668"/>
      <c r="AE1" s="3" t="s">
        <v>2374</v>
      </c>
      <c r="AF1" s="667" t="s">
        <v>2375</v>
      </c>
      <c r="AG1" s="667"/>
      <c r="AH1" s="667"/>
      <c r="AI1" s="667"/>
      <c r="AJ1" s="3" t="s">
        <v>2376</v>
      </c>
      <c r="AK1" s="3" t="s">
        <v>2377</v>
      </c>
      <c r="AL1" s="3" t="s">
        <v>2378</v>
      </c>
      <c r="AM1" s="3" t="s">
        <v>6</v>
      </c>
      <c r="AN1" s="3" t="s">
        <v>6</v>
      </c>
      <c r="AO1" s="3" t="s">
        <v>6</v>
      </c>
      <c r="AP1" s="96" t="s">
        <v>2379</v>
      </c>
    </row>
    <row r="2" spans="1:42" ht="14.4">
      <c r="A2" s="3" t="str">
        <f>Languages!L109</f>
        <v>YES</v>
      </c>
      <c r="B2" s="3" t="str">
        <f>Languages!L111</f>
        <v>New Supplier Setup</v>
      </c>
      <c r="C2" s="3" t="str">
        <f>Languages!L115</f>
        <v>Add additional address</v>
      </c>
      <c r="D2" s="106" t="str">
        <f>Languages!L135</f>
        <v>Supplier</v>
      </c>
      <c r="E2" s="3" t="str">
        <f>Languages!$L$173</f>
        <v>Company</v>
      </c>
      <c r="F2" s="3" t="str">
        <f>Languages!L142</f>
        <v>Within the United Kingdom</v>
      </c>
      <c r="G2" s="3" t="str">
        <f>Languages!L120</f>
        <v>Within the United States</v>
      </c>
      <c r="H2" s="3" t="s">
        <v>1607</v>
      </c>
      <c r="I2" s="3" t="s">
        <v>2380</v>
      </c>
      <c r="J2" t="s">
        <v>2381</v>
      </c>
      <c r="K2" s="3" t="s">
        <v>2382</v>
      </c>
      <c r="L2" s="3" t="s">
        <v>2383</v>
      </c>
      <c r="M2" s="42" t="s">
        <v>2384</v>
      </c>
      <c r="N2" s="6" t="s">
        <v>2385</v>
      </c>
      <c r="O2" s="3" t="s">
        <v>2386</v>
      </c>
      <c r="P2" s="3" t="s">
        <v>2387</v>
      </c>
      <c r="Q2" s="3" t="s">
        <v>2388</v>
      </c>
      <c r="R2" s="3" t="s">
        <v>120</v>
      </c>
      <c r="S2" s="6" t="str">
        <f>Languages!L122</f>
        <v>Services</v>
      </c>
      <c r="T2" s="6" t="s">
        <v>2389</v>
      </c>
      <c r="U2" s="6" t="s">
        <v>2390</v>
      </c>
      <c r="V2">
        <v>93</v>
      </c>
      <c r="W2" t="s">
        <v>2</v>
      </c>
      <c r="X2" t="s">
        <v>2</v>
      </c>
      <c r="Y2" s="25" t="s">
        <v>2</v>
      </c>
      <c r="Z2" s="25" t="s">
        <v>2</v>
      </c>
      <c r="AA2" s="27" t="s">
        <v>21</v>
      </c>
      <c r="AB2" s="3" t="s">
        <v>22</v>
      </c>
      <c r="AC2" s="28" t="s">
        <v>23</v>
      </c>
      <c r="AD2" s="25"/>
      <c r="AE2" s="25" t="s">
        <v>2</v>
      </c>
      <c r="AF2" s="202" t="s">
        <v>2391</v>
      </c>
      <c r="AG2" s="3" t="s">
        <v>2392</v>
      </c>
      <c r="AH2" s="3" t="s">
        <v>2393</v>
      </c>
      <c r="AI2" s="3" t="s">
        <v>2394</v>
      </c>
      <c r="AJ2" s="6" t="s">
        <v>6</v>
      </c>
      <c r="AK2" s="6" t="s">
        <v>6</v>
      </c>
      <c r="AL2" s="6" t="s">
        <v>6</v>
      </c>
      <c r="AM2" s="81" t="s">
        <v>2395</v>
      </c>
      <c r="AN2" s="3" t="s">
        <v>2396</v>
      </c>
      <c r="AO2" s="3" t="s">
        <v>2397</v>
      </c>
      <c r="AP2" s="3" t="s">
        <v>6</v>
      </c>
    </row>
    <row r="3" spans="1:42" ht="14.4">
      <c r="A3" s="3" t="str">
        <f>Languages!L110</f>
        <v>NO</v>
      </c>
      <c r="B3" s="3" t="str">
        <f>Languages!L112</f>
        <v>Change/Update Supplier Details</v>
      </c>
      <c r="C3" s="3" t="str">
        <f>Languages!L116</f>
        <v>Change existing address</v>
      </c>
      <c r="D3" s="106" t="str">
        <f>Languages!L249</f>
        <v>Banking &amp; Finance</v>
      </c>
      <c r="E3" s="3" t="str">
        <f>Languages!$L$174</f>
        <v>Individual</v>
      </c>
      <c r="F3" s="3" t="str">
        <f>Languages!L143</f>
        <v>Outside the United Kingdom</v>
      </c>
      <c r="G3" s="3" t="str">
        <f>Languages!L121</f>
        <v>Outside the United States</v>
      </c>
      <c r="H3" s="3" t="s">
        <v>2398</v>
      </c>
      <c r="I3" s="3" t="s">
        <v>2399</v>
      </c>
      <c r="J3" t="s">
        <v>2400</v>
      </c>
      <c r="K3" s="3" t="s">
        <v>2401</v>
      </c>
      <c r="L3" s="3" t="s">
        <v>979</v>
      </c>
      <c r="M3" s="42" t="s">
        <v>2402</v>
      </c>
      <c r="N3" s="3" t="s">
        <v>2178</v>
      </c>
      <c r="O3" s="3" t="s">
        <v>1046</v>
      </c>
      <c r="P3" s="3" t="s">
        <v>2403</v>
      </c>
      <c r="Q3" s="3" t="s">
        <v>2404</v>
      </c>
      <c r="R3" s="3" t="s">
        <v>125</v>
      </c>
      <c r="S3" s="6" t="str">
        <f>Languages!L123</f>
        <v>Goods</v>
      </c>
      <c r="T3" s="6" t="s">
        <v>2389</v>
      </c>
      <c r="U3" s="6" t="s">
        <v>2405</v>
      </c>
      <c r="V3">
        <v>358</v>
      </c>
      <c r="W3" t="s">
        <v>2406</v>
      </c>
      <c r="X3" t="s">
        <v>2407</v>
      </c>
      <c r="Y3" s="26">
        <v>0</v>
      </c>
      <c r="Z3" s="3" t="s">
        <v>2408</v>
      </c>
      <c r="AA3" s="27" t="str">
        <f>CONCATENATE("HST - ",Languages!L109)</f>
        <v>HST - YES</v>
      </c>
      <c r="AB3" s="3" t="str">
        <f>CONCATENATE("GST - ",Languages!L109)</f>
        <v>GST - YES</v>
      </c>
      <c r="AC3" s="28" t="str">
        <f>CONCATENATE("QST - ",Languages!L109)</f>
        <v>QST - YES</v>
      </c>
      <c r="AD3"/>
      <c r="AE3" s="3" t="s">
        <v>2409</v>
      </c>
      <c r="AF3" s="6" t="s">
        <v>6</v>
      </c>
      <c r="AG3" s="6" t="s">
        <v>6</v>
      </c>
      <c r="AH3" s="6" t="s">
        <v>6</v>
      </c>
      <c r="AI3" s="6" t="s">
        <v>6</v>
      </c>
      <c r="AJ3" s="6" t="s">
        <v>2410</v>
      </c>
      <c r="AK3" s="6" t="s">
        <v>2411</v>
      </c>
      <c r="AL3" s="6" t="s">
        <v>2412</v>
      </c>
      <c r="AM3" s="81" t="s">
        <v>2413</v>
      </c>
      <c r="AN3" s="3" t="s">
        <v>2414</v>
      </c>
      <c r="AO3" s="3" t="s">
        <v>2415</v>
      </c>
      <c r="AP3" s="96" t="s">
        <v>2416</v>
      </c>
    </row>
    <row r="4" spans="1:42" ht="14.4">
      <c r="B4" s="3" t="str">
        <f>Languages!L113</f>
        <v>Reactivate an Inactive Supplier</v>
      </c>
      <c r="C4" s="3" t="str">
        <f>Languages!L117</f>
        <v>Change banking details</v>
      </c>
      <c r="D4" s="106" t="str">
        <f>Languages!L128</f>
        <v>Commissions</v>
      </c>
      <c r="E4" s="3" t="s">
        <v>2417</v>
      </c>
      <c r="H4" s="3" t="s">
        <v>2418</v>
      </c>
      <c r="I4" s="3" t="s">
        <v>2419</v>
      </c>
      <c r="J4" t="s">
        <v>2420</v>
      </c>
      <c r="K4" s="3" t="s">
        <v>2421</v>
      </c>
      <c r="L4" s="3" t="s">
        <v>2422</v>
      </c>
      <c r="M4" s="42" t="s">
        <v>2423</v>
      </c>
      <c r="N4" s="6" t="s">
        <v>2424</v>
      </c>
      <c r="R4" s="3" t="s">
        <v>122</v>
      </c>
      <c r="S4" s="6" t="str">
        <f>Languages!L124</f>
        <v>Goods and Services</v>
      </c>
      <c r="T4" s="6" t="s">
        <v>2389</v>
      </c>
      <c r="U4" s="6" t="s">
        <v>2425</v>
      </c>
      <c r="V4">
        <v>355</v>
      </c>
      <c r="W4" t="s">
        <v>2426</v>
      </c>
      <c r="X4" t="s">
        <v>2427</v>
      </c>
      <c r="Y4" s="26">
        <v>7.0000000000000007E-2</v>
      </c>
      <c r="Z4" s="3" t="s">
        <v>2428</v>
      </c>
      <c r="AA4" s="27" t="str">
        <f>CONCATENATE("HST - ",Languages!L110)</f>
        <v>HST - NO</v>
      </c>
      <c r="AB4" s="3" t="str">
        <f>CONCATENATE("GST - ",Languages!L110)</f>
        <v>GST - NO</v>
      </c>
      <c r="AC4" s="28" t="str">
        <f>CONCATENATE("QST - ",Languages!L110)</f>
        <v>QST - NO</v>
      </c>
      <c r="AD4"/>
      <c r="AE4" s="3" t="s">
        <v>2179</v>
      </c>
      <c r="AF4" s="16" t="s">
        <v>2429</v>
      </c>
      <c r="AG4" s="6" t="s">
        <v>2429</v>
      </c>
      <c r="AH4" s="6" t="s">
        <v>2429</v>
      </c>
      <c r="AI4" s="6" t="s">
        <v>2429</v>
      </c>
      <c r="AJ4" s="6" t="s">
        <v>2430</v>
      </c>
      <c r="AK4" s="6" t="s">
        <v>2431</v>
      </c>
      <c r="AL4" s="6" t="s">
        <v>2432</v>
      </c>
      <c r="AM4" s="81" t="s">
        <v>2433</v>
      </c>
      <c r="AN4" s="3" t="s">
        <v>2434</v>
      </c>
      <c r="AP4" s="96" t="s">
        <v>2435</v>
      </c>
    </row>
    <row r="5" spans="1:42" ht="14.4">
      <c r="C5" s="3" t="str">
        <f>Languages!L118</f>
        <v>Change address and bank details</v>
      </c>
      <c r="D5" s="106" t="str">
        <f>Languages!L244</f>
        <v>Conference / Exhibits</v>
      </c>
      <c r="H5" s="3" t="s">
        <v>2436</v>
      </c>
      <c r="I5" s="3" t="s">
        <v>2437</v>
      </c>
      <c r="J5" t="s">
        <v>2438</v>
      </c>
      <c r="K5" s="3" t="s">
        <v>2439</v>
      </c>
      <c r="M5" s="42" t="s">
        <v>2440</v>
      </c>
      <c r="N5" s="3" t="s">
        <v>2441</v>
      </c>
      <c r="O5" s="6" t="str">
        <f>Languages!L108</f>
        <v>Select One…</v>
      </c>
      <c r="R5" s="3" t="s">
        <v>123</v>
      </c>
      <c r="S5" s="6" t="s">
        <v>1104</v>
      </c>
      <c r="T5" s="6" t="s">
        <v>2389</v>
      </c>
      <c r="U5" s="6" t="s">
        <v>2442</v>
      </c>
      <c r="V5">
        <v>213</v>
      </c>
      <c r="W5" t="s">
        <v>2443</v>
      </c>
      <c r="X5" t="s">
        <v>2444</v>
      </c>
      <c r="Y5" s="26">
        <v>0.19</v>
      </c>
      <c r="AA5" s="27"/>
      <c r="AC5" s="28"/>
      <c r="AD5"/>
      <c r="AE5" s="3" t="s">
        <v>2445</v>
      </c>
      <c r="AF5" s="16" t="s">
        <v>2446</v>
      </c>
      <c r="AG5" s="6" t="s">
        <v>2447</v>
      </c>
      <c r="AH5" s="6" t="s">
        <v>2447</v>
      </c>
      <c r="AI5" s="6" t="s">
        <v>2447</v>
      </c>
      <c r="AM5" s="81" t="s">
        <v>2448</v>
      </c>
      <c r="AN5" s="3" t="s">
        <v>2449</v>
      </c>
      <c r="AP5" s="96" t="s">
        <v>2450</v>
      </c>
    </row>
    <row r="6" spans="1:42" ht="14.4">
      <c r="A6" s="3" t="str">
        <f>'Languages France'!L150</f>
        <v>Sélectionnez Oui ou Non</v>
      </c>
      <c r="B6" s="3" t="str">
        <f>'Languages France'!L107</f>
        <v>Veuillez sélectionner</v>
      </c>
      <c r="C6" s="3" t="str">
        <f>Languages!L114</f>
        <v>Other</v>
      </c>
      <c r="D6" s="106" t="str">
        <f>Languages!L129</f>
        <v>Customer Refund</v>
      </c>
      <c r="H6" s="3" t="s">
        <v>2451</v>
      </c>
      <c r="I6" s="3" t="s">
        <v>2452</v>
      </c>
      <c r="J6" t="s">
        <v>2453</v>
      </c>
      <c r="K6" s="3" t="s">
        <v>2454</v>
      </c>
      <c r="N6" s="3" t="s">
        <v>2455</v>
      </c>
      <c r="O6" s="3" t="str">
        <f>Languages!L119</f>
        <v>Electronic</v>
      </c>
      <c r="R6" s="3" t="s">
        <v>124</v>
      </c>
      <c r="S6" s="6"/>
      <c r="T6" s="6" t="s">
        <v>2456</v>
      </c>
      <c r="U6" s="6" t="s">
        <v>2457</v>
      </c>
      <c r="V6" t="s">
        <v>2458</v>
      </c>
      <c r="W6" t="s">
        <v>2459</v>
      </c>
      <c r="X6" t="s">
        <v>2460</v>
      </c>
      <c r="AA6" s="27"/>
      <c r="AC6" s="28"/>
      <c r="AD6"/>
      <c r="AE6" s="3" t="str">
        <f>Languages!L83</f>
        <v>Other</v>
      </c>
      <c r="AF6" s="202" t="s">
        <v>2461</v>
      </c>
      <c r="AG6" s="6" t="s">
        <v>2462</v>
      </c>
      <c r="AH6" s="6" t="s">
        <v>2462</v>
      </c>
      <c r="AI6" s="6" t="s">
        <v>2462</v>
      </c>
      <c r="AM6" s="81" t="s">
        <v>2463</v>
      </c>
      <c r="AP6" s="96" t="s">
        <v>2464</v>
      </c>
    </row>
    <row r="7" spans="1:42" ht="14.4">
      <c r="A7" s="3" t="str">
        <f>'Languages France'!L108</f>
        <v>OUI</v>
      </c>
      <c r="B7" s="3" t="str">
        <f>'Languages France'!L110</f>
        <v>Référencement d'un nouveau fournisseur</v>
      </c>
      <c r="D7" s="106" t="str">
        <f>Languages!L245</f>
        <v>Donations / Sponsorship</v>
      </c>
      <c r="I7" s="3" t="s">
        <v>2465</v>
      </c>
      <c r="J7" t="s">
        <v>2466</v>
      </c>
      <c r="K7"/>
      <c r="N7" s="6" t="s">
        <v>2467</v>
      </c>
      <c r="R7" s="3" t="s">
        <v>121</v>
      </c>
      <c r="S7" s="6"/>
      <c r="T7" s="6" t="s">
        <v>2456</v>
      </c>
      <c r="U7" s="6" t="s">
        <v>2468</v>
      </c>
      <c r="V7">
        <v>376</v>
      </c>
      <c r="W7" t="s">
        <v>2469</v>
      </c>
      <c r="X7" t="s">
        <v>2470</v>
      </c>
      <c r="AA7" s="27"/>
      <c r="AC7" s="28"/>
      <c r="AD7"/>
      <c r="AF7" s="16" t="s">
        <v>2471</v>
      </c>
      <c r="AG7" s="6" t="s">
        <v>2472</v>
      </c>
      <c r="AH7" s="6" t="s">
        <v>2472</v>
      </c>
      <c r="AI7" s="6" t="s">
        <v>2472</v>
      </c>
      <c r="AM7" s="81" t="s">
        <v>2473</v>
      </c>
      <c r="AP7" s="96" t="s">
        <v>2474</v>
      </c>
    </row>
    <row r="8" spans="1:42" ht="14.4">
      <c r="A8" s="3" t="str">
        <f>'Languages France'!L109</f>
        <v>NON</v>
      </c>
      <c r="B8" s="3" t="str">
        <f>'Languages France'!L111</f>
        <v>Modifier / mettre à jour les informations du fournisseur</v>
      </c>
      <c r="D8" s="106" t="str">
        <f>Languages!L127</f>
        <v>Editors &amp; Authors</v>
      </c>
      <c r="E8" s="3" t="str">
        <f>'Languages France'!L107</f>
        <v>Veuillez sélectionner</v>
      </c>
      <c r="I8" s="3" t="s">
        <v>2475</v>
      </c>
      <c r="J8" t="s">
        <v>2476</v>
      </c>
      <c r="K8"/>
      <c r="M8" s="6" t="str">
        <f>LanguagesA!L107</f>
        <v>Wählen Sie</v>
      </c>
      <c r="N8" s="3" t="s">
        <v>2477</v>
      </c>
      <c r="R8" s="3" t="s">
        <v>126</v>
      </c>
      <c r="S8" s="6"/>
      <c r="T8" s="6" t="s">
        <v>2389</v>
      </c>
      <c r="U8" s="6" t="s">
        <v>2478</v>
      </c>
      <c r="V8">
        <v>244</v>
      </c>
      <c r="W8" t="s">
        <v>2479</v>
      </c>
      <c r="X8" t="s">
        <v>2480</v>
      </c>
      <c r="AA8" s="27"/>
      <c r="AC8" s="28"/>
      <c r="AD8"/>
      <c r="AE8" s="3" t="s">
        <v>2</v>
      </c>
      <c r="AF8" s="16" t="s">
        <v>2481</v>
      </c>
      <c r="AG8" s="6" t="s">
        <v>2482</v>
      </c>
      <c r="AH8" s="6" t="s">
        <v>2482</v>
      </c>
      <c r="AI8" s="6" t="s">
        <v>2482</v>
      </c>
      <c r="AM8" s="81" t="s">
        <v>2483</v>
      </c>
      <c r="AP8" s="96" t="s">
        <v>2484</v>
      </c>
    </row>
    <row r="9" spans="1:42" ht="14.4">
      <c r="B9" s="3" t="str">
        <f>'Languages France'!L112</f>
        <v>Réactiver un fournisseur inactif</v>
      </c>
      <c r="D9" s="105" t="str">
        <f>Languages!L131</f>
        <v>Employee</v>
      </c>
      <c r="E9" s="3" t="str">
        <f>'Languages France'!$L$172</f>
        <v>Compagnie</v>
      </c>
      <c r="I9" s="3" t="s">
        <v>2485</v>
      </c>
      <c r="J9" t="s">
        <v>2486</v>
      </c>
      <c r="K9"/>
      <c r="M9" s="42" t="s">
        <v>2384</v>
      </c>
      <c r="N9" s="6" t="s">
        <v>2487</v>
      </c>
      <c r="R9" s="3" t="s">
        <v>127</v>
      </c>
      <c r="S9" s="6"/>
      <c r="T9" s="6" t="s">
        <v>2456</v>
      </c>
      <c r="U9" s="6" t="s">
        <v>2488</v>
      </c>
      <c r="V9" t="s">
        <v>2489</v>
      </c>
      <c r="W9" t="s">
        <v>2490</v>
      </c>
      <c r="X9" t="s">
        <v>2491</v>
      </c>
      <c r="AA9" s="27"/>
      <c r="AC9" s="28"/>
      <c r="AD9"/>
      <c r="AE9" s="3" t="s">
        <v>2409</v>
      </c>
      <c r="AF9" s="16" t="s">
        <v>2492</v>
      </c>
      <c r="AG9" s="6" t="s">
        <v>2493</v>
      </c>
      <c r="AH9" s="6" t="s">
        <v>2493</v>
      </c>
      <c r="AI9" s="6" t="s">
        <v>2493</v>
      </c>
      <c r="AM9" s="81" t="s">
        <v>2494</v>
      </c>
      <c r="AP9" s="96" t="s">
        <v>2495</v>
      </c>
    </row>
    <row r="10" spans="1:42" ht="14.4">
      <c r="D10" s="106" t="str">
        <f>Languages!L132</f>
        <v>Freelancers</v>
      </c>
      <c r="E10" s="3" t="str">
        <f>'Languages France'!$L$173</f>
        <v>Individuel/Individuelle</v>
      </c>
      <c r="I10" s="3" t="s">
        <v>2496</v>
      </c>
      <c r="J10" t="s">
        <v>2497</v>
      </c>
      <c r="K10"/>
      <c r="M10" s="42" t="s">
        <v>2402</v>
      </c>
      <c r="N10" s="6" t="s">
        <v>2498</v>
      </c>
      <c r="S10" s="6"/>
      <c r="T10" s="6" t="s">
        <v>2389</v>
      </c>
      <c r="U10" s="6" t="s">
        <v>2499</v>
      </c>
      <c r="V10">
        <v>672</v>
      </c>
      <c r="W10" t="s">
        <v>2500</v>
      </c>
      <c r="X10" t="s">
        <v>2501</v>
      </c>
      <c r="AA10" s="27"/>
      <c r="AC10" s="28"/>
      <c r="AD10"/>
      <c r="AE10" s="3" t="s">
        <v>2179</v>
      </c>
      <c r="AF10" s="202" t="s">
        <v>2502</v>
      </c>
      <c r="AG10" s="6" t="s">
        <v>2503</v>
      </c>
      <c r="AH10" s="6" t="s">
        <v>2503</v>
      </c>
      <c r="AI10" s="6" t="s">
        <v>2503</v>
      </c>
      <c r="AM10" s="81" t="s">
        <v>2504</v>
      </c>
      <c r="AP10" s="96" t="s">
        <v>2505</v>
      </c>
    </row>
    <row r="11" spans="1:42" ht="14.4">
      <c r="A11" s="3" t="s">
        <v>6</v>
      </c>
      <c r="B11" s="3" t="s">
        <v>6</v>
      </c>
      <c r="C11" s="3" t="s">
        <v>6</v>
      </c>
      <c r="D11" s="106" t="str">
        <f>Languages!L246</f>
        <v>Government / Tax</v>
      </c>
      <c r="E11" s="3" t="str">
        <f>'Languages France'!$L$175</f>
        <v>Entreprise - Associations/Sociétés</v>
      </c>
      <c r="I11" s="3" t="s">
        <v>2506</v>
      </c>
      <c r="J11" t="s">
        <v>2507</v>
      </c>
      <c r="K11"/>
      <c r="M11" s="42" t="s">
        <v>2423</v>
      </c>
      <c r="N11" s="3" t="s">
        <v>2508</v>
      </c>
      <c r="S11" s="6"/>
      <c r="T11" s="6" t="s">
        <v>2456</v>
      </c>
      <c r="U11" s="6" t="s">
        <v>2509</v>
      </c>
      <c r="V11" t="s">
        <v>2510</v>
      </c>
      <c r="W11" t="s">
        <v>2511</v>
      </c>
      <c r="X11" t="s">
        <v>2512</v>
      </c>
      <c r="AA11" s="27"/>
      <c r="AC11" s="28"/>
      <c r="AD11"/>
      <c r="AE11" s="3" t="s">
        <v>2445</v>
      </c>
      <c r="AF11" s="202" t="s">
        <v>2513</v>
      </c>
      <c r="AG11" s="6" t="s">
        <v>2471</v>
      </c>
      <c r="AH11" s="6" t="s">
        <v>2471</v>
      </c>
      <c r="AI11" s="6" t="s">
        <v>2471</v>
      </c>
      <c r="AM11" s="81" t="s">
        <v>2514</v>
      </c>
      <c r="AP11" s="96" t="s">
        <v>2515</v>
      </c>
    </row>
    <row r="12" spans="1:42" ht="14.4">
      <c r="A12" s="3" t="s">
        <v>1331</v>
      </c>
      <c r="B12" s="3" t="s">
        <v>2516</v>
      </c>
      <c r="C12" s="3" t="s">
        <v>2517</v>
      </c>
      <c r="D12" s="106" t="str">
        <f>Languages!L247</f>
        <v>Intercompany</v>
      </c>
      <c r="I12" s="3" t="s">
        <v>2518</v>
      </c>
      <c r="J12" t="s">
        <v>2519</v>
      </c>
      <c r="K12"/>
      <c r="M12" s="42" t="s">
        <v>2440</v>
      </c>
      <c r="N12" s="6" t="s">
        <v>2520</v>
      </c>
      <c r="R12" s="3" t="s">
        <v>2</v>
      </c>
      <c r="S12" s="6"/>
      <c r="T12" s="6" t="s">
        <v>2456</v>
      </c>
      <c r="U12" s="6" t="s">
        <v>2521</v>
      </c>
      <c r="V12">
        <v>54</v>
      </c>
      <c r="W12" t="s">
        <v>2522</v>
      </c>
      <c r="X12" t="s">
        <v>2523</v>
      </c>
      <c r="AA12" s="27"/>
      <c r="AC12" s="28"/>
      <c r="AD12"/>
      <c r="AF12" s="16" t="s">
        <v>2524</v>
      </c>
      <c r="AG12" s="6" t="s">
        <v>2481</v>
      </c>
      <c r="AH12" s="6" t="s">
        <v>2481</v>
      </c>
      <c r="AI12" s="6" t="s">
        <v>2481</v>
      </c>
      <c r="AM12" s="81" t="s">
        <v>2525</v>
      </c>
      <c r="AP12" s="96" t="s">
        <v>2526</v>
      </c>
    </row>
    <row r="13" spans="1:42" ht="14.4">
      <c r="A13" s="3" t="s">
        <v>1339</v>
      </c>
      <c r="B13" s="3" t="s">
        <v>2527</v>
      </c>
      <c r="C13" s="3" t="s">
        <v>2528</v>
      </c>
      <c r="D13" s="106" t="str">
        <f>Languages!L133</f>
        <v>Legal Services / Settlement</v>
      </c>
      <c r="I13" s="3" t="s">
        <v>2529</v>
      </c>
      <c r="J13" t="s">
        <v>2530</v>
      </c>
      <c r="K13"/>
      <c r="N13" s="3" t="s">
        <v>2531</v>
      </c>
      <c r="R13" s="3" t="s">
        <v>120</v>
      </c>
      <c r="S13" s="6"/>
      <c r="T13" s="6" t="s">
        <v>2456</v>
      </c>
      <c r="U13" s="6" t="s">
        <v>2532</v>
      </c>
      <c r="V13">
        <v>374</v>
      </c>
      <c r="W13" t="s">
        <v>2533</v>
      </c>
      <c r="X13" t="s">
        <v>2534</v>
      </c>
      <c r="AA13" s="27"/>
      <c r="AC13" s="28"/>
      <c r="AD13"/>
      <c r="AE13" s="3" t="s">
        <v>2</v>
      </c>
      <c r="AF13" s="16" t="s">
        <v>2535</v>
      </c>
      <c r="AG13" s="6" t="s">
        <v>2492</v>
      </c>
      <c r="AH13" s="6" t="s">
        <v>2536</v>
      </c>
      <c r="AI13" s="6" t="s">
        <v>2492</v>
      </c>
      <c r="AM13" s="81" t="s">
        <v>2537</v>
      </c>
      <c r="AP13" s="96" t="s">
        <v>2538</v>
      </c>
    </row>
    <row r="14" spans="1:42" ht="14.4">
      <c r="A14" s="3" t="s">
        <v>2539</v>
      </c>
      <c r="C14" s="3" t="s">
        <v>2540</v>
      </c>
      <c r="D14" s="106" t="str">
        <f>Languages!L248</f>
        <v>Properties</v>
      </c>
      <c r="I14" s="3" t="s">
        <v>2541</v>
      </c>
      <c r="J14" t="s">
        <v>2542</v>
      </c>
      <c r="K14"/>
      <c r="N14" s="6" t="s">
        <v>2543</v>
      </c>
      <c r="R14" s="3" t="s">
        <v>127</v>
      </c>
      <c r="S14" s="6"/>
      <c r="T14" s="6" t="s">
        <v>2456</v>
      </c>
      <c r="U14" s="6" t="s">
        <v>2544</v>
      </c>
      <c r="V14">
        <v>297</v>
      </c>
      <c r="W14" t="s">
        <v>2545</v>
      </c>
      <c r="X14" t="s">
        <v>2546</v>
      </c>
      <c r="AA14" s="27"/>
      <c r="AC14" s="28"/>
      <c r="AD14"/>
      <c r="AE14" s="6" t="s">
        <v>2445</v>
      </c>
      <c r="AF14" s="202" t="s">
        <v>2547</v>
      </c>
      <c r="AG14" s="6" t="s">
        <v>2536</v>
      </c>
      <c r="AH14" s="6" t="s">
        <v>2548</v>
      </c>
      <c r="AI14" s="6" t="s">
        <v>2536</v>
      </c>
      <c r="AM14" s="81" t="s">
        <v>2549</v>
      </c>
      <c r="AP14" s="96" t="s">
        <v>2550</v>
      </c>
    </row>
    <row r="15" spans="1:42" ht="14.4">
      <c r="C15" s="3" t="s">
        <v>2551</v>
      </c>
      <c r="D15" s="106" t="str">
        <f>Languages!L136</f>
        <v>Rent / Lease</v>
      </c>
      <c r="I15" s="3" t="s">
        <v>2552</v>
      </c>
      <c r="J15" t="s">
        <v>2553</v>
      </c>
      <c r="K15"/>
      <c r="N15" s="6" t="s">
        <v>2554</v>
      </c>
      <c r="S15" s="6"/>
      <c r="T15" s="6" t="s">
        <v>2456</v>
      </c>
      <c r="U15" s="6" t="s">
        <v>2385</v>
      </c>
      <c r="V15">
        <v>61</v>
      </c>
      <c r="W15" t="s">
        <v>2555</v>
      </c>
      <c r="X15" t="s">
        <v>2556</v>
      </c>
      <c r="AA15" s="27"/>
      <c r="AC15" s="28"/>
      <c r="AE15" s="6" t="s">
        <v>2557</v>
      </c>
      <c r="AF15" s="202" t="s">
        <v>2558</v>
      </c>
      <c r="AG15" s="6" t="s">
        <v>2548</v>
      </c>
      <c r="AH15" s="6" t="s">
        <v>2559</v>
      </c>
      <c r="AI15" s="6" t="s">
        <v>2548</v>
      </c>
      <c r="AM15" s="81" t="s">
        <v>2560</v>
      </c>
      <c r="AP15" s="96" t="s">
        <v>2561</v>
      </c>
    </row>
    <row r="16" spans="1:42" ht="14.4">
      <c r="C16" s="3" t="s">
        <v>2562</v>
      </c>
      <c r="D16" s="106" t="str">
        <f>Languages!L137</f>
        <v>Royalties</v>
      </c>
      <c r="I16" s="3" t="s">
        <v>2563</v>
      </c>
      <c r="J16" t="s">
        <v>2564</v>
      </c>
      <c r="K16"/>
      <c r="N16" s="3" t="s">
        <v>2565</v>
      </c>
      <c r="S16" s="6"/>
      <c r="T16" s="6" t="s">
        <v>2566</v>
      </c>
      <c r="U16" s="6" t="s">
        <v>2178</v>
      </c>
      <c r="V16">
        <v>43</v>
      </c>
      <c r="W16" t="s">
        <v>2567</v>
      </c>
      <c r="X16" t="s">
        <v>2568</v>
      </c>
      <c r="AA16" s="27"/>
      <c r="AC16" s="28"/>
      <c r="AF16" s="202" t="s">
        <v>2569</v>
      </c>
      <c r="AG16" s="6" t="s">
        <v>2559</v>
      </c>
      <c r="AH16" s="6" t="s">
        <v>2524</v>
      </c>
      <c r="AI16" s="6" t="s">
        <v>2559</v>
      </c>
      <c r="AM16" s="81" t="s">
        <v>2570</v>
      </c>
      <c r="AP16" s="96" t="s">
        <v>2571</v>
      </c>
    </row>
    <row r="17" spans="1:42" ht="14.4">
      <c r="A17" s="3" t="str">
        <f>LanguagesA!L150</f>
        <v>Wählen Sie Ja oder Nein</v>
      </c>
      <c r="C17" s="3" t="s">
        <v>2572</v>
      </c>
      <c r="D17" s="106" t="str">
        <f>Languages!L250</f>
        <v>Societies</v>
      </c>
      <c r="F17" s="3" t="str">
        <f>Languages!L108</f>
        <v>Select One…</v>
      </c>
      <c r="G17" s="3" t="str">
        <f>Languages!L108</f>
        <v>Select One…</v>
      </c>
      <c r="I17" s="3" t="s">
        <v>2573</v>
      </c>
      <c r="J17" t="s">
        <v>2574</v>
      </c>
      <c r="K17"/>
      <c r="N17" s="3" t="s">
        <v>2575</v>
      </c>
      <c r="U17" s="6" t="s">
        <v>2576</v>
      </c>
      <c r="V17">
        <v>994</v>
      </c>
      <c r="W17" t="s">
        <v>2577</v>
      </c>
      <c r="X17"/>
      <c r="AA17" s="27"/>
      <c r="AC17" s="28"/>
      <c r="AF17" s="202" t="s">
        <v>2578</v>
      </c>
      <c r="AG17" s="6" t="s">
        <v>2524</v>
      </c>
      <c r="AH17" s="6" t="s">
        <v>2579</v>
      </c>
      <c r="AI17" s="6" t="s">
        <v>2524</v>
      </c>
      <c r="AM17" s="81" t="s">
        <v>2580</v>
      </c>
      <c r="AP17" s="96" t="s">
        <v>2581</v>
      </c>
    </row>
    <row r="18" spans="1:42" ht="14.4">
      <c r="A18" s="3" t="str">
        <f>LanguagesA!L108</f>
        <v>JA</v>
      </c>
      <c r="D18" s="106" t="str">
        <f>Languages!L251</f>
        <v>Subscription</v>
      </c>
      <c r="F18" s="3" t="s">
        <v>2582</v>
      </c>
      <c r="G18" s="3" t="str">
        <f>Languages!L109</f>
        <v>YES</v>
      </c>
      <c r="I18" s="3" t="s">
        <v>2583</v>
      </c>
      <c r="J18" t="s">
        <v>2584</v>
      </c>
      <c r="K18"/>
      <c r="N18" s="6" t="s">
        <v>2585</v>
      </c>
      <c r="U18" s="6" t="s">
        <v>2586</v>
      </c>
      <c r="V18" t="s">
        <v>2587</v>
      </c>
      <c r="W18" t="s">
        <v>2588</v>
      </c>
      <c r="X18"/>
      <c r="AA18" s="27"/>
      <c r="AC18" s="28"/>
      <c r="AF18" s="202" t="s">
        <v>2589</v>
      </c>
      <c r="AG18" s="6" t="s">
        <v>2579</v>
      </c>
      <c r="AH18" s="6" t="s">
        <v>2590</v>
      </c>
      <c r="AI18" s="6" t="s">
        <v>2579</v>
      </c>
      <c r="AM18" s="81" t="s">
        <v>2591</v>
      </c>
      <c r="AP18" s="96" t="s">
        <v>2592</v>
      </c>
    </row>
    <row r="19" spans="1:42" ht="14.4">
      <c r="A19" s="3" t="str">
        <f>LanguagesA!L109</f>
        <v>NEIN</v>
      </c>
      <c r="D19" s="106" t="str">
        <f>Languages!L140</f>
        <v>Tax Authority</v>
      </c>
      <c r="F19" s="3" t="s">
        <v>2593</v>
      </c>
      <c r="G19" s="3" t="str">
        <f>Languages!L182</f>
        <v>In Progress</v>
      </c>
      <c r="I19" s="3" t="s">
        <v>2594</v>
      </c>
      <c r="M19" s="3" t="s">
        <v>2595</v>
      </c>
      <c r="N19" s="3" t="s">
        <v>2596</v>
      </c>
      <c r="U19" s="6" t="s">
        <v>2597</v>
      </c>
      <c r="V19">
        <v>973</v>
      </c>
      <c r="W19" t="s">
        <v>2598</v>
      </c>
      <c r="X19"/>
      <c r="AA19" s="27"/>
      <c r="AC19" s="28"/>
      <c r="AF19" s="202" t="s">
        <v>2599</v>
      </c>
      <c r="AG19" s="6" t="s">
        <v>2590</v>
      </c>
      <c r="AH19" s="6" t="s">
        <v>2600</v>
      </c>
      <c r="AI19" s="6" t="s">
        <v>2590</v>
      </c>
      <c r="AM19" s="81" t="s">
        <v>2601</v>
      </c>
      <c r="AP19" s="96" t="s">
        <v>2602</v>
      </c>
    </row>
    <row r="20" spans="1:42" ht="14.4">
      <c r="D20" s="106" t="str">
        <f>Languages!L141</f>
        <v>Utilities</v>
      </c>
      <c r="F20" s="3" t="s">
        <v>2603</v>
      </c>
      <c r="G20" s="3" t="str">
        <f>Languages!L110</f>
        <v>NO</v>
      </c>
      <c r="I20" s="3" t="s">
        <v>2604</v>
      </c>
      <c r="M20" s="6" t="s">
        <v>2</v>
      </c>
      <c r="N20" s="3" t="s">
        <v>2605</v>
      </c>
      <c r="U20" s="6" t="s">
        <v>2606</v>
      </c>
      <c r="V20">
        <v>880</v>
      </c>
      <c r="W20" t="s">
        <v>2607</v>
      </c>
      <c r="X20"/>
      <c r="AA20" s="27"/>
      <c r="AC20" s="28"/>
      <c r="AF20" s="202" t="s">
        <v>2608</v>
      </c>
      <c r="AG20" s="6" t="s">
        <v>2600</v>
      </c>
      <c r="AH20" s="6" t="s">
        <v>2535</v>
      </c>
      <c r="AI20" s="6" t="s">
        <v>2600</v>
      </c>
      <c r="AM20" s="81" t="s">
        <v>2609</v>
      </c>
      <c r="AP20" s="96" t="s">
        <v>2610</v>
      </c>
    </row>
    <row r="21" spans="1:42" ht="14.4">
      <c r="E21" s="3" t="s">
        <v>2611</v>
      </c>
      <c r="F21" s="3" t="s">
        <v>2612</v>
      </c>
      <c r="I21" s="3" t="s">
        <v>2613</v>
      </c>
      <c r="M21" s="42" t="s">
        <v>2614</v>
      </c>
      <c r="N21" s="3" t="s">
        <v>2615</v>
      </c>
      <c r="U21" s="6" t="s">
        <v>2616</v>
      </c>
      <c r="V21" t="s">
        <v>2617</v>
      </c>
      <c r="W21" t="s">
        <v>2618</v>
      </c>
      <c r="X21"/>
      <c r="AA21" s="27"/>
      <c r="AC21" s="28"/>
      <c r="AF21" s="202" t="s">
        <v>2619</v>
      </c>
      <c r="AG21" s="6" t="s">
        <v>2535</v>
      </c>
      <c r="AH21" s="3" t="s">
        <v>2620</v>
      </c>
      <c r="AI21" s="6" t="s">
        <v>2535</v>
      </c>
      <c r="AM21" s="81" t="s">
        <v>2621</v>
      </c>
      <c r="AP21" s="96" t="s">
        <v>2622</v>
      </c>
    </row>
    <row r="22" spans="1:42" ht="14.4">
      <c r="B22" s="3" t="s">
        <v>2</v>
      </c>
      <c r="C22" s="3" t="str">
        <f>Languages!L108</f>
        <v>Select One…</v>
      </c>
      <c r="E22" s="3" t="str">
        <f>Languages!L108</f>
        <v>Select One…</v>
      </c>
      <c r="F22" s="3" t="s">
        <v>2623</v>
      </c>
      <c r="I22" s="3" t="s">
        <v>2624</v>
      </c>
      <c r="M22" s="42" t="s">
        <v>2625</v>
      </c>
      <c r="N22" s="3" t="s">
        <v>2293</v>
      </c>
      <c r="U22" s="6" t="s">
        <v>2626</v>
      </c>
      <c r="V22">
        <v>375</v>
      </c>
      <c r="W22" t="s">
        <v>2627</v>
      </c>
      <c r="X22"/>
      <c r="AA22" s="27"/>
      <c r="AC22" s="28"/>
      <c r="AF22" s="202" t="s">
        <v>2628</v>
      </c>
      <c r="AG22" s="3" t="s">
        <v>2620</v>
      </c>
      <c r="AH22" s="6" t="s">
        <v>2629</v>
      </c>
      <c r="AI22" s="3" t="s">
        <v>2620</v>
      </c>
      <c r="AM22" s="81" t="s">
        <v>2630</v>
      </c>
      <c r="AP22" s="96" t="s">
        <v>2631</v>
      </c>
    </row>
    <row r="23" spans="1:42" ht="14.4">
      <c r="B23" s="3" t="s">
        <v>1357</v>
      </c>
      <c r="C23" s="3" t="str">
        <f>Languages!L153</f>
        <v>Canada Online Royalty</v>
      </c>
      <c r="E23" s="3" t="s">
        <v>2632</v>
      </c>
      <c r="F23" s="3" t="s">
        <v>2633</v>
      </c>
      <c r="G23" s="3" t="str">
        <f>'Languages France'!L107</f>
        <v>Veuillez sélectionner</v>
      </c>
      <c r="M23" s="42" t="s">
        <v>2634</v>
      </c>
      <c r="N23" s="3" t="s">
        <v>2635</v>
      </c>
      <c r="U23" s="6" t="s">
        <v>2636</v>
      </c>
      <c r="V23">
        <v>32</v>
      </c>
      <c r="W23" t="s">
        <v>2637</v>
      </c>
      <c r="X23"/>
      <c r="AA23" s="27"/>
      <c r="AC23" s="28"/>
      <c r="AF23" s="202" t="s">
        <v>27</v>
      </c>
      <c r="AG23" s="6" t="s">
        <v>2629</v>
      </c>
      <c r="AH23" s="3" t="s">
        <v>2547</v>
      </c>
      <c r="AI23" s="6" t="s">
        <v>2629</v>
      </c>
      <c r="AM23" s="81" t="s">
        <v>2638</v>
      </c>
      <c r="AP23" s="96" t="s">
        <v>2639</v>
      </c>
    </row>
    <row r="24" spans="1:42" ht="14.4">
      <c r="B24" s="3" t="s">
        <v>2640</v>
      </c>
      <c r="C24" s="3" t="str">
        <f>Languages!L154</f>
        <v>Canada Print Royalty</v>
      </c>
      <c r="E24" s="3" t="s">
        <v>2641</v>
      </c>
      <c r="G24" s="3" t="str">
        <f>'Languages France'!L108</f>
        <v>OUI</v>
      </c>
      <c r="M24" s="42"/>
      <c r="N24" s="3" t="s">
        <v>2642</v>
      </c>
      <c r="U24" s="6" t="s">
        <v>2643</v>
      </c>
      <c r="V24">
        <v>501</v>
      </c>
      <c r="W24" t="s">
        <v>2644</v>
      </c>
      <c r="X24"/>
      <c r="AA24" s="27"/>
      <c r="AC24" s="28"/>
      <c r="AF24" s="202" t="s">
        <v>2307</v>
      </c>
      <c r="AG24" s="3" t="s">
        <v>2547</v>
      </c>
      <c r="AH24" s="3" t="s">
        <v>2645</v>
      </c>
      <c r="AI24" s="3" t="s">
        <v>2547</v>
      </c>
      <c r="AM24" s="81" t="s">
        <v>2646</v>
      </c>
      <c r="AP24" s="96" t="s">
        <v>2647</v>
      </c>
    </row>
    <row r="25" spans="1:42" ht="14.4">
      <c r="B25" s="3" t="s">
        <v>2648</v>
      </c>
      <c r="C25" s="3" t="str">
        <f>Languages!L156</f>
        <v>Flat Fee</v>
      </c>
      <c r="E25" s="3" t="s">
        <v>2649</v>
      </c>
      <c r="G25" s="3" t="str">
        <f>'Languages France'!L212</f>
        <v>En cours</v>
      </c>
      <c r="N25" s="6" t="s">
        <v>2650</v>
      </c>
      <c r="U25" s="6" t="s">
        <v>2651</v>
      </c>
      <c r="V25">
        <v>229</v>
      </c>
      <c r="W25" t="s">
        <v>2652</v>
      </c>
      <c r="X25"/>
      <c r="AA25" s="27"/>
      <c r="AC25" s="28"/>
      <c r="AF25" s="6" t="s">
        <v>2447</v>
      </c>
      <c r="AG25" s="3" t="s">
        <v>2645</v>
      </c>
      <c r="AH25" s="3" t="s">
        <v>2653</v>
      </c>
      <c r="AI25" s="3" t="s">
        <v>2645</v>
      </c>
      <c r="AM25" s="82" t="s">
        <v>2654</v>
      </c>
      <c r="AP25" s="96" t="s">
        <v>2655</v>
      </c>
    </row>
    <row r="26" spans="1:42" ht="14.4">
      <c r="C26" s="3" t="str">
        <f>Languages!L157</f>
        <v>Michie</v>
      </c>
      <c r="D26" s="105" t="s">
        <v>2656</v>
      </c>
      <c r="E26" s="3" t="s">
        <v>1674</v>
      </c>
      <c r="F26" s="3" t="str">
        <f>'Languages France'!L107</f>
        <v>Veuillez sélectionner</v>
      </c>
      <c r="G26" s="3" t="str">
        <f>'Languages France'!L109</f>
        <v>NON</v>
      </c>
      <c r="J26" s="53"/>
      <c r="K26" s="53"/>
      <c r="N26" s="6" t="s">
        <v>2657</v>
      </c>
      <c r="U26" s="6" t="s">
        <v>2658</v>
      </c>
      <c r="V26" t="s">
        <v>2659</v>
      </c>
      <c r="W26" t="s">
        <v>2660</v>
      </c>
      <c r="X26"/>
      <c r="AA26" s="27"/>
      <c r="AC26" s="28"/>
      <c r="AF26" s="6" t="s">
        <v>2482</v>
      </c>
      <c r="AG26" s="3" t="s">
        <v>2653</v>
      </c>
      <c r="AH26" s="3" t="s">
        <v>2661</v>
      </c>
      <c r="AI26" s="3" t="s">
        <v>2653</v>
      </c>
      <c r="AM26" s="81" t="s">
        <v>2662</v>
      </c>
      <c r="AP26" s="96" t="s">
        <v>2663</v>
      </c>
    </row>
    <row r="27" spans="1:42" ht="14.4">
      <c r="C27" s="3" t="str">
        <f>Languages!L158</f>
        <v>Matthew Bender</v>
      </c>
      <c r="D27" s="105" t="str">
        <f>ledger1</f>
        <v>Select One…</v>
      </c>
      <c r="E27" s="3" t="s">
        <v>2664</v>
      </c>
      <c r="F27" s="3" t="s">
        <v>2582</v>
      </c>
      <c r="J27" s="53"/>
      <c r="K27" s="53"/>
      <c r="N27" s="3" t="s">
        <v>2440</v>
      </c>
      <c r="U27" s="6" t="s">
        <v>2665</v>
      </c>
      <c r="V27">
        <v>975</v>
      </c>
      <c r="W27" t="s">
        <v>2666</v>
      </c>
      <c r="X27"/>
      <c r="AA27" s="27"/>
      <c r="AC27" s="28"/>
      <c r="AF27" s="6" t="s">
        <v>2493</v>
      </c>
      <c r="AG27" s="3" t="s">
        <v>2661</v>
      </c>
      <c r="AH27" s="3" t="s">
        <v>2667</v>
      </c>
      <c r="AI27" s="3" t="s">
        <v>2661</v>
      </c>
      <c r="AM27" s="81" t="s">
        <v>2668</v>
      </c>
      <c r="AP27" s="96" t="s">
        <v>2669</v>
      </c>
    </row>
    <row r="28" spans="1:42" ht="14.4">
      <c r="C28" s="3" t="str">
        <f>Languages!L159</f>
        <v>Flat Fee and Michie</v>
      </c>
      <c r="F28" s="3" t="s">
        <v>2593</v>
      </c>
      <c r="J28" s="53"/>
      <c r="K28" s="53"/>
      <c r="N28" s="3" t="s">
        <v>2670</v>
      </c>
      <c r="U28" s="6" t="s">
        <v>2671</v>
      </c>
      <c r="V28">
        <v>591</v>
      </c>
      <c r="W28" t="s">
        <v>2672</v>
      </c>
      <c r="X28"/>
      <c r="AA28" s="27"/>
      <c r="AC28" s="28"/>
      <c r="AF28" s="6" t="s">
        <v>2503</v>
      </c>
      <c r="AG28" s="3" t="s">
        <v>2667</v>
      </c>
      <c r="AH28" s="3" t="s">
        <v>2673</v>
      </c>
      <c r="AI28" s="3" t="s">
        <v>2667</v>
      </c>
      <c r="AM28" s="81" t="s">
        <v>2674</v>
      </c>
      <c r="AP28" s="96" t="s">
        <v>2675</v>
      </c>
    </row>
    <row r="29" spans="1:42" ht="14.4">
      <c r="B29" s="3" t="str">
        <f>LanguagesA!L107</f>
        <v>Wählen Sie</v>
      </c>
      <c r="C29" s="3" t="str">
        <f>Languages!L160</f>
        <v>Flat Fee and Matthew Bender</v>
      </c>
      <c r="F29" s="3" t="s">
        <v>2603</v>
      </c>
      <c r="G29" s="3" t="str">
        <f>LanguagesA!L107</f>
        <v>Wählen Sie</v>
      </c>
      <c r="L29" s="3" t="s">
        <v>2595</v>
      </c>
      <c r="N29" s="6"/>
      <c r="U29" s="6" t="s">
        <v>2676</v>
      </c>
      <c r="V29">
        <v>387</v>
      </c>
      <c r="W29" t="s">
        <v>2677</v>
      </c>
      <c r="X29"/>
      <c r="AA29" s="27"/>
      <c r="AC29" s="28"/>
      <c r="AF29" s="6" t="s">
        <v>2536</v>
      </c>
      <c r="AG29" s="3" t="s">
        <v>2673</v>
      </c>
      <c r="AH29" s="3" t="s">
        <v>2678</v>
      </c>
      <c r="AI29" s="3" t="s">
        <v>2673</v>
      </c>
      <c r="AM29" s="81" t="s">
        <v>2679</v>
      </c>
      <c r="AP29" s="96" t="s">
        <v>2680</v>
      </c>
    </row>
    <row r="30" spans="1:42" ht="14.4">
      <c r="B30" s="3" t="str">
        <f>LanguagesA!L110</f>
        <v>Neuanlage Lieferant/Autor</v>
      </c>
      <c r="C30" s="3" t="str">
        <f>Languages!L161</f>
        <v>Royalty</v>
      </c>
      <c r="F30" s="3" t="s">
        <v>2612</v>
      </c>
      <c r="G30" s="3" t="str">
        <f>LanguagesA!L108</f>
        <v>JA</v>
      </c>
      <c r="L30" s="6" t="s">
        <v>2</v>
      </c>
      <c r="N30" s="6"/>
      <c r="U30" s="6" t="s">
        <v>2681</v>
      </c>
      <c r="V30">
        <v>267</v>
      </c>
      <c r="W30" t="s">
        <v>2682</v>
      </c>
      <c r="X30"/>
      <c r="AA30" s="27"/>
      <c r="AC30" s="28"/>
      <c r="AF30" s="6" t="s">
        <v>2548</v>
      </c>
      <c r="AG30" s="3" t="s">
        <v>2678</v>
      </c>
      <c r="AH30" s="3" t="s">
        <v>2683</v>
      </c>
      <c r="AI30" s="3" t="s">
        <v>2678</v>
      </c>
      <c r="AM30" s="81" t="s">
        <v>2684</v>
      </c>
      <c r="AP30" s="96" t="s">
        <v>2685</v>
      </c>
    </row>
    <row r="31" spans="1:42" ht="14.4">
      <c r="B31" s="3" t="str">
        <f>LanguagesA!L111</f>
        <v>Lieferanten-/Autorendetails ändern/aktualisieren</v>
      </c>
      <c r="C31" s="3" t="str">
        <f>Languages!L162</f>
        <v>Flat Fee and Royalty</v>
      </c>
      <c r="D31" s="105" t="str">
        <f>'Languages France'!L107</f>
        <v>Veuillez sélectionner</v>
      </c>
      <c r="E31" s="3" t="str">
        <f>LanguagesA!L107</f>
        <v>Wählen Sie</v>
      </c>
      <c r="F31" s="3" t="s">
        <v>2623</v>
      </c>
      <c r="G31" s="3" t="str">
        <f>LanguagesA!L181</f>
        <v>In Bearbeitung</v>
      </c>
      <c r="K31" s="3" t="s">
        <v>130</v>
      </c>
      <c r="L31" s="3" t="str">
        <f>_xlfn.CONCAT(Languages!C206,$K$31,Languages!C225,$K$32)</f>
        <v>Cloud  (Infrastructure and Platform services provided by Cloud Providers (IaaS, PaaS))</v>
      </c>
      <c r="N31" s="6"/>
      <c r="U31" s="6" t="s">
        <v>2686</v>
      </c>
      <c r="V31">
        <v>47</v>
      </c>
      <c r="W31" t="s">
        <v>2687</v>
      </c>
      <c r="X31"/>
      <c r="AA31" s="27"/>
      <c r="AC31" s="28"/>
      <c r="AF31" s="6" t="s">
        <v>2559</v>
      </c>
      <c r="AG31" s="3" t="s">
        <v>2683</v>
      </c>
      <c r="AH31" s="3" t="s">
        <v>2688</v>
      </c>
      <c r="AI31" s="3" t="s">
        <v>2683</v>
      </c>
      <c r="AM31" s="81" t="s">
        <v>2689</v>
      </c>
      <c r="AP31" s="96" t="s">
        <v>2690</v>
      </c>
    </row>
    <row r="32" spans="1:42" ht="14.4">
      <c r="B32" s="3" t="str">
        <f>LanguagesA!L112</f>
        <v>Reaktivierung eines inaktiven Lieferanten/Autors</v>
      </c>
      <c r="D32" s="105" t="str">
        <f>'Languages France'!L134</f>
        <v>Fournisseur</v>
      </c>
      <c r="E32" s="3" t="str">
        <f>LanguagesA!L134</f>
        <v>Lieferant (allgemein)</v>
      </c>
      <c r="F32" s="3" t="s">
        <v>2633</v>
      </c>
      <c r="G32" s="3" t="str">
        <f>LanguagesA!L109</f>
        <v>NEIN</v>
      </c>
      <c r="K32" s="3" t="s">
        <v>132</v>
      </c>
      <c r="L32" s="3" t="str">
        <f>_xlfn.CONCAT(Languages!C207,$K$31,Languages!C226,$K$32)</f>
        <v>Consulting  (Management consulting, advisory services)</v>
      </c>
      <c r="N32" s="6"/>
      <c r="U32" s="6" t="s">
        <v>2691</v>
      </c>
      <c r="V32">
        <v>55</v>
      </c>
      <c r="W32" t="s">
        <v>2692</v>
      </c>
      <c r="X32"/>
      <c r="AA32" s="27"/>
      <c r="AC32" s="28"/>
      <c r="AF32" s="6" t="s">
        <v>2579</v>
      </c>
      <c r="AG32" s="3" t="s">
        <v>2688</v>
      </c>
      <c r="AH32" s="3" t="s">
        <v>2693</v>
      </c>
      <c r="AI32" s="3" t="s">
        <v>2688</v>
      </c>
      <c r="AM32" s="81" t="s">
        <v>2694</v>
      </c>
      <c r="AP32" s="96" t="s">
        <v>2695</v>
      </c>
    </row>
    <row r="33" spans="2:42" ht="14.4">
      <c r="D33" s="105" t="str">
        <f>'Languages France'!L279</f>
        <v>Banque et finance</v>
      </c>
      <c r="E33" s="3" t="str">
        <f>LanguagesA!L248</f>
        <v>Banken und Finanzen</v>
      </c>
      <c r="L33" s="3" t="str">
        <f>_xlfn.CONCAT(Languages!C208,$K$31,Languages!C227,$K$32)</f>
        <v>Content  (Acquisition, purchasing, or licensing of data or content)</v>
      </c>
      <c r="N33" s="6"/>
      <c r="U33" s="6" t="s">
        <v>2696</v>
      </c>
      <c r="V33">
        <v>246</v>
      </c>
      <c r="W33" t="s">
        <v>2697</v>
      </c>
      <c r="X33"/>
      <c r="AA33" s="27"/>
      <c r="AC33" s="28"/>
      <c r="AF33" s="6" t="s">
        <v>2590</v>
      </c>
      <c r="AG33" s="3" t="s">
        <v>2693</v>
      </c>
      <c r="AH33" s="3" t="s">
        <v>2698</v>
      </c>
      <c r="AI33" s="3" t="s">
        <v>2693</v>
      </c>
      <c r="AM33" s="81" t="s">
        <v>2699</v>
      </c>
      <c r="AP33" s="96" t="s">
        <v>2700</v>
      </c>
    </row>
    <row r="34" spans="2:42" ht="14.4">
      <c r="C34" s="3" t="str">
        <f>'Languages France'!L107</f>
        <v>Veuillez sélectionner</v>
      </c>
      <c r="D34" s="105" t="str">
        <f>'Languages France'!L127</f>
        <v>Commissions</v>
      </c>
      <c r="E34" s="3" t="str">
        <f>LanguagesA!L127</f>
        <v>Provisionen</v>
      </c>
      <c r="L34" s="3" t="str">
        <f>_xlfn.CONCAT(Languages!C209,$K$31,Languages!C228,$K$32)</f>
        <v>Digital Marketing Software  (Software that is primarily used for Marketing Services)</v>
      </c>
      <c r="N34"/>
      <c r="U34" s="16" t="s">
        <v>2701</v>
      </c>
      <c r="V34" s="17">
        <v>673</v>
      </c>
      <c r="W34" t="s">
        <v>2702</v>
      </c>
      <c r="X34"/>
      <c r="AA34" s="27"/>
      <c r="AC34" s="28"/>
      <c r="AF34" s="3" t="s">
        <v>2703</v>
      </c>
      <c r="AG34" s="3" t="s">
        <v>2698</v>
      </c>
      <c r="AH34" s="3" t="s">
        <v>2578</v>
      </c>
      <c r="AI34" s="3" t="s">
        <v>2698</v>
      </c>
      <c r="AM34" s="81" t="s">
        <v>2704</v>
      </c>
      <c r="AP34" s="96" t="s">
        <v>2705</v>
      </c>
    </row>
    <row r="35" spans="2:42" ht="14.4">
      <c r="C35" s="3" t="str">
        <f>'Languages France'!L114</f>
        <v>Ajouter une adresse supplémentaire</v>
      </c>
      <c r="D35" s="105" t="str">
        <f>'Languages France'!L274</f>
        <v>Conférence / Expositions</v>
      </c>
      <c r="E35" s="3" t="str">
        <f>LanguagesA!L243</f>
        <v>Konferenzen/Ausstellungen</v>
      </c>
      <c r="F35" s="3" t="str">
        <f>LanguagesA!L107</f>
        <v>Wählen Sie</v>
      </c>
      <c r="L35" s="3" t="str">
        <f>_xlfn.CONCAT(Languages!C210,$K$31,Languages!C229,$K$32)</f>
        <v>Distribution  (Courier, postage, shipping, freight, logistics, fulfillment and warehousing)</v>
      </c>
      <c r="U35" s="6" t="s">
        <v>2706</v>
      </c>
      <c r="V35">
        <v>359</v>
      </c>
      <c r="W35" t="s">
        <v>2707</v>
      </c>
      <c r="X35"/>
      <c r="AA35" s="27"/>
      <c r="AC35" s="28"/>
      <c r="AF35" s="6" t="s">
        <v>2600</v>
      </c>
      <c r="AG35" s="3" t="s">
        <v>2578</v>
      </c>
      <c r="AH35" s="3" t="s">
        <v>2708</v>
      </c>
      <c r="AI35" s="3" t="s">
        <v>2578</v>
      </c>
      <c r="AM35" s="81" t="s">
        <v>2709</v>
      </c>
      <c r="AP35" s="96" t="s">
        <v>2710</v>
      </c>
    </row>
    <row r="36" spans="2:42" ht="14.4">
      <c r="C36" s="3" t="str">
        <f>'Languages France'!L115</f>
        <v>Modifier l'adresse existante</v>
      </c>
      <c r="D36" s="105" t="str">
        <f>'Languages France'!L128</f>
        <v>Remboursement client</v>
      </c>
      <c r="E36" s="3" t="str">
        <f>LanguagesA!L128</f>
        <v>Kundenrückerstattung</v>
      </c>
      <c r="F36" s="3" t="s">
        <v>2582</v>
      </c>
      <c r="L36" s="3" t="str">
        <f>_xlfn.CONCAT(Languages!C211,$K$31,Languages!C230,$K$32)</f>
        <v>Editorial, Production &amp; Operation Services  (Data or content transformation, excerption, web scraping, conversion, typesetting, copy-editing, proof-reading, and customer services)</v>
      </c>
      <c r="U36" s="6" t="s">
        <v>2711</v>
      </c>
      <c r="V36">
        <v>226</v>
      </c>
      <c r="W36" t="s">
        <v>2712</v>
      </c>
      <c r="X36"/>
      <c r="AA36" s="27"/>
      <c r="AC36" s="28"/>
      <c r="AF36" s="3" t="s">
        <v>2620</v>
      </c>
      <c r="AG36" s="3" t="s">
        <v>2708</v>
      </c>
      <c r="AH36" s="3" t="s">
        <v>2589</v>
      </c>
      <c r="AI36" s="3" t="s">
        <v>2708</v>
      </c>
      <c r="AP36" s="96" t="s">
        <v>2713</v>
      </c>
    </row>
    <row r="37" spans="2:42" ht="14.4">
      <c r="C37" s="3" t="str">
        <f>'Languages France'!L116</f>
        <v>Modifier les coordonnées bancaires</v>
      </c>
      <c r="D37" s="105" t="str">
        <f>'Languages France'!L275</f>
        <v>Dons / Parrainages</v>
      </c>
      <c r="E37" s="3" t="str">
        <f>LanguagesA!L244</f>
        <v>Spenden/Sponsoring</v>
      </c>
      <c r="F37" s="3" t="s">
        <v>2593</v>
      </c>
      <c r="L37" s="3" t="str">
        <f>_xlfn.CONCAT(Languages!C212,$K$31,Languages!C231,$K$32)</f>
        <v>Facilities &amp; Property Services  (Office Refurbishment, Cleaning, Facilities Mgmt.)</v>
      </c>
      <c r="U37" s="6" t="s">
        <v>2714</v>
      </c>
      <c r="V37">
        <v>257</v>
      </c>
      <c r="W37" t="s">
        <v>2715</v>
      </c>
      <c r="X37"/>
      <c r="AA37" s="27"/>
      <c r="AC37" s="28"/>
      <c r="AF37" s="6" t="s">
        <v>2629</v>
      </c>
      <c r="AG37" s="3" t="s">
        <v>2589</v>
      </c>
      <c r="AH37" s="3" t="s">
        <v>2716</v>
      </c>
      <c r="AI37" s="3" t="s">
        <v>2589</v>
      </c>
      <c r="AP37" s="96" t="s">
        <v>2717</v>
      </c>
    </row>
    <row r="38" spans="2:42" ht="14.4">
      <c r="C38" s="3" t="str">
        <f>'Languages France'!L117</f>
        <v>Modifier l'adresse et les coordonnées bancaires</v>
      </c>
      <c r="D38" s="105" t="str">
        <f>'Languages France'!L126</f>
        <v>Éditeurs et auteurs</v>
      </c>
      <c r="E38" s="3" t="str">
        <f>LanguagesA!L126</f>
        <v>Herausgeber und Autoren</v>
      </c>
      <c r="F38" s="3" t="s">
        <v>2603</v>
      </c>
      <c r="L38" s="3" t="str">
        <f>_xlfn.CONCAT(Languages!C213,$K$31,Languages!C232,$K$32)</f>
        <v>HR Services  (Employee Benefits/Programs, Training)</v>
      </c>
      <c r="U38" s="6" t="s">
        <v>2718</v>
      </c>
      <c r="V38">
        <v>855</v>
      </c>
      <c r="W38" t="s">
        <v>2719</v>
      </c>
      <c r="X38"/>
      <c r="AA38" s="27"/>
      <c r="AC38" s="28"/>
      <c r="AF38" s="3" t="s">
        <v>2645</v>
      </c>
      <c r="AG38" s="3" t="s">
        <v>2716</v>
      </c>
      <c r="AH38" s="3" t="s">
        <v>2599</v>
      </c>
      <c r="AI38" s="3" t="s">
        <v>2716</v>
      </c>
      <c r="AP38" s="96" t="s">
        <v>2720</v>
      </c>
    </row>
    <row r="39" spans="2:42" ht="14.4">
      <c r="C39" s="3" t="str">
        <f>'Languages France'!L113</f>
        <v>Autre</v>
      </c>
      <c r="D39" s="105" t="str">
        <f>'Languages France'!L130</f>
        <v>Employé</v>
      </c>
      <c r="E39" s="3" t="str">
        <f>LanguagesA!L130</f>
        <v>Mitarbeiter</v>
      </c>
      <c r="F39" s="3" t="s">
        <v>2612</v>
      </c>
      <c r="L39" s="3" t="str">
        <f>_xlfn.CONCAT(Languages!C214,$K$31,Languages!C233,$K$32)</f>
        <v>Marketing  (Advertising, Agencies/Design, Copyright/Translation, Market Research, Promo Materials, PR, Telemarketing)</v>
      </c>
      <c r="U39" s="6" t="s">
        <v>2721</v>
      </c>
      <c r="V39">
        <v>237</v>
      </c>
      <c r="W39" t="s">
        <v>2722</v>
      </c>
      <c r="X39"/>
      <c r="AA39" s="27"/>
      <c r="AC39" s="28"/>
      <c r="AF39" s="3" t="s">
        <v>2653</v>
      </c>
      <c r="AG39" s="3" t="s">
        <v>2599</v>
      </c>
      <c r="AH39" s="3" t="s">
        <v>2723</v>
      </c>
      <c r="AI39" s="3" t="s">
        <v>2599</v>
      </c>
      <c r="AP39" s="96" t="s">
        <v>2724</v>
      </c>
    </row>
    <row r="40" spans="2:42" ht="14.4">
      <c r="D40" s="105" t="str">
        <f>'Languages France'!L131</f>
        <v>Indépendants</v>
      </c>
      <c r="E40" s="3" t="str">
        <f>LanguagesA!L131</f>
        <v>Freiberufler</v>
      </c>
      <c r="F40" s="3" t="s">
        <v>2623</v>
      </c>
      <c r="L40" s="3" t="str">
        <f>_xlfn.CONCAT(Languages!C215,$K$31,Languages!C234,$K$32)</f>
        <v>Mobile  (Smartphones / mobile devices)</v>
      </c>
      <c r="U40" s="6" t="s">
        <v>2424</v>
      </c>
      <c r="V40">
        <v>1</v>
      </c>
      <c r="W40" t="s">
        <v>2725</v>
      </c>
      <c r="X40"/>
      <c r="AA40" s="27"/>
      <c r="AC40" s="28"/>
      <c r="AF40" s="3" t="s">
        <v>2661</v>
      </c>
      <c r="AG40" s="3" t="s">
        <v>2723</v>
      </c>
      <c r="AH40" s="3" t="s">
        <v>2726</v>
      </c>
      <c r="AI40" s="3" t="s">
        <v>2723</v>
      </c>
      <c r="AP40" s="96" t="s">
        <v>2727</v>
      </c>
    </row>
    <row r="41" spans="2:42" ht="14.4">
      <c r="C41" s="3" t="str">
        <f>LanguagesA!L107</f>
        <v>Wählen Sie</v>
      </c>
      <c r="D41" s="105" t="str">
        <f>'Languages France'!L276</f>
        <v>Gouvernement / Impôts</v>
      </c>
      <c r="E41" s="3" t="str">
        <f>LanguagesA!L245</f>
        <v>Regierung/Steuern</v>
      </c>
      <c r="F41" s="3" t="s">
        <v>2633</v>
      </c>
      <c r="L41" s="3" t="str">
        <f>_xlfn.CONCAT(Languages!C216,$K$31,Languages!C235,$K$32)</f>
        <v>Printing &amp; Paper  (Manufacturing of printed products and paper purchasing)</v>
      </c>
      <c r="U41" s="6" t="s">
        <v>2728</v>
      </c>
      <c r="V41">
        <v>238</v>
      </c>
      <c r="W41" t="s">
        <v>2729</v>
      </c>
      <c r="X41"/>
      <c r="AA41" s="27"/>
      <c r="AC41" s="28"/>
      <c r="AF41" s="3" t="s">
        <v>2667</v>
      </c>
      <c r="AG41" s="3" t="s">
        <v>2726</v>
      </c>
      <c r="AH41" s="3" t="s">
        <v>2730</v>
      </c>
      <c r="AI41" s="3" t="s">
        <v>2726</v>
      </c>
      <c r="AP41" s="96" t="s">
        <v>2731</v>
      </c>
    </row>
    <row r="42" spans="2:42" ht="14.4">
      <c r="C42" s="3" t="str">
        <f>LanguagesA!L114</f>
        <v>Zusätzliche Adresse hinzufügen</v>
      </c>
      <c r="D42" s="105" t="str">
        <f>'Languages France'!L277</f>
        <v>Interentreprises</v>
      </c>
      <c r="E42" s="3" t="str">
        <f>LanguagesA!L246</f>
        <v>Konzernverrechnung (Intercompany)</v>
      </c>
      <c r="L42" s="3" t="str">
        <f>_xlfn.CONCAT(Languages!C217,$K$31,Languages!C236,$K$32)</f>
        <v>Professional Services  (Legal Services, Financial Services)</v>
      </c>
      <c r="U42" s="6" t="s">
        <v>2732</v>
      </c>
      <c r="V42" t="s">
        <v>2733</v>
      </c>
      <c r="W42" t="s">
        <v>2734</v>
      </c>
      <c r="X42"/>
      <c r="AA42" s="27"/>
      <c r="AC42" s="28"/>
      <c r="AF42" s="3" t="s">
        <v>2673</v>
      </c>
      <c r="AG42" s="3" t="s">
        <v>2730</v>
      </c>
      <c r="AH42" s="3" t="s">
        <v>2735</v>
      </c>
      <c r="AI42" s="3" t="s">
        <v>2730</v>
      </c>
      <c r="AP42" s="96" t="s">
        <v>2736</v>
      </c>
    </row>
    <row r="43" spans="2:42" ht="14.4">
      <c r="C43" s="3" t="str">
        <f>LanguagesA!L115</f>
        <v>Vorhandene Adresse ändern</v>
      </c>
      <c r="D43" s="105" t="str">
        <f>'Languages France'!L132</f>
        <v>Services juridiques / Règlement</v>
      </c>
      <c r="E43" s="3" t="str">
        <f>LanguagesA!L132</f>
        <v>Rechtsberatung</v>
      </c>
      <c r="L43" s="3" t="str">
        <f>_xlfn.CONCAT(Languages!C218,$K$31,Languages!C237,$K$32)</f>
        <v>Software  (Software as a Services, Desktop Software, Server Software)</v>
      </c>
      <c r="U43" s="6" t="s">
        <v>2737</v>
      </c>
      <c r="V43">
        <v>236</v>
      </c>
      <c r="W43" t="s">
        <v>2738</v>
      </c>
      <c r="X43"/>
      <c r="AA43" s="27"/>
      <c r="AC43" s="28"/>
      <c r="AF43" s="3" t="s">
        <v>2678</v>
      </c>
      <c r="AG43" s="3" t="s">
        <v>2735</v>
      </c>
      <c r="AH43" s="3" t="s">
        <v>2739</v>
      </c>
      <c r="AI43" s="3" t="s">
        <v>2735</v>
      </c>
      <c r="AP43" s="96" t="s">
        <v>2740</v>
      </c>
    </row>
    <row r="44" spans="2:42" ht="14.4">
      <c r="C44" s="3" t="str">
        <f>LanguagesA!L116</f>
        <v>Bankdaten ändern</v>
      </c>
      <c r="D44" s="105" t="str">
        <f>'Languages France'!L278</f>
        <v>Propriétés</v>
      </c>
      <c r="E44" s="3" t="str">
        <f>LanguagesA!L247</f>
        <v>Immobilien</v>
      </c>
      <c r="L44" s="3" t="str">
        <f>_xlfn.CONCAT(Languages!C219,$K$31,Languages!C238,$K$32)</f>
        <v>Technology Hardware  (Computers, Servers, Printers, Monitors, Peripherals)</v>
      </c>
      <c r="U44" s="6" t="s">
        <v>2741</v>
      </c>
      <c r="V44">
        <v>235</v>
      </c>
      <c r="W44" t="s">
        <v>2742</v>
      </c>
      <c r="X44"/>
      <c r="AA44" s="27"/>
      <c r="AC44" s="28"/>
      <c r="AF44" s="3" t="s">
        <v>2683</v>
      </c>
      <c r="AG44" s="3" t="s">
        <v>2739</v>
      </c>
      <c r="AH44" s="3" t="s">
        <v>2608</v>
      </c>
      <c r="AI44" s="3" t="s">
        <v>2739</v>
      </c>
      <c r="AP44" s="96" t="s">
        <v>2743</v>
      </c>
    </row>
    <row r="45" spans="2:42" ht="14.4">
      <c r="C45" s="3" t="str">
        <f>LanguagesA!L117</f>
        <v>Adresse und Bankverbindung ändern</v>
      </c>
      <c r="D45" s="105" t="str">
        <f>'Languages France'!L135</f>
        <v>Location / Bail</v>
      </c>
      <c r="E45" s="3" t="str">
        <f>LanguagesA!L135</f>
        <v>Miete/Pacht</v>
      </c>
      <c r="F45" s="3" t="s">
        <v>2</v>
      </c>
      <c r="L45" s="3" t="str">
        <f>_xlfn.CONCAT(Languages!C220,$K$31,Languages!C239,$K$32)</f>
        <v>Technology ReSellers  (Technology purchased through Third Party Suppliers)</v>
      </c>
      <c r="U45" s="6" t="s">
        <v>2744</v>
      </c>
      <c r="V45">
        <v>56</v>
      </c>
      <c r="W45" t="s">
        <v>2745</v>
      </c>
      <c r="X45"/>
      <c r="AA45" s="27"/>
      <c r="AC45" s="28"/>
      <c r="AF45" s="3" t="s">
        <v>2688</v>
      </c>
      <c r="AG45" s="3" t="s">
        <v>2608</v>
      </c>
      <c r="AH45" s="3" t="s">
        <v>2619</v>
      </c>
      <c r="AI45" s="3" t="s">
        <v>2608</v>
      </c>
      <c r="AP45" s="96" t="s">
        <v>2746</v>
      </c>
    </row>
    <row r="46" spans="2:42" ht="14.4">
      <c r="C46" s="3" t="str">
        <f>LanguagesA!L113</f>
        <v>Sonstiges</v>
      </c>
      <c r="D46" s="105" t="str">
        <f>'Languages France'!L136</f>
        <v>Redevance</v>
      </c>
      <c r="E46" s="3" t="str">
        <f>LanguagesA!L136</f>
        <v>Lizenzgeber</v>
      </c>
      <c r="F46" s="3" t="s">
        <v>2747</v>
      </c>
      <c r="L46" s="3" t="str">
        <f>_xlfn.CONCAT(Languages!C221,$K$31,Languages!C240,$K$32)</f>
        <v>Technology Services  (Contractors and Consultants providing technology-related labor-based services)</v>
      </c>
      <c r="U46" s="6" t="s">
        <v>2441</v>
      </c>
      <c r="V46">
        <v>86</v>
      </c>
      <c r="W46" t="s">
        <v>2748</v>
      </c>
      <c r="X46"/>
      <c r="AA46" s="27"/>
      <c r="AC46" s="28"/>
      <c r="AF46" s="3" t="s">
        <v>2693</v>
      </c>
      <c r="AG46" s="3" t="s">
        <v>2619</v>
      </c>
      <c r="AH46" s="3" t="s">
        <v>2628</v>
      </c>
      <c r="AI46" s="3" t="s">
        <v>2619</v>
      </c>
      <c r="AP46" s="96" t="s">
        <v>2749</v>
      </c>
    </row>
    <row r="47" spans="2:42" ht="14.4">
      <c r="D47" s="105" t="str">
        <f>'Languages France'!L280</f>
        <v>Sociétés</v>
      </c>
      <c r="E47" s="3" t="str">
        <f>LanguagesA!L249</f>
        <v>sonstige Unternehmen</v>
      </c>
      <c r="F47" s="3" t="s">
        <v>2750</v>
      </c>
      <c r="L47" s="3" t="str">
        <f>_xlfn.CONCAT(Languages!C222,$K$31,Languages!C241,$K$32)</f>
        <v>Telecom &amp; Network  (Telephony and network related products and services)</v>
      </c>
      <c r="U47" s="6" t="s">
        <v>2751</v>
      </c>
      <c r="V47">
        <v>61</v>
      </c>
      <c r="W47" t="s">
        <v>2752</v>
      </c>
      <c r="X47"/>
      <c r="AA47" s="27"/>
      <c r="AC47" s="28"/>
      <c r="AF47" s="3" t="s">
        <v>2698</v>
      </c>
      <c r="AG47" s="3" t="s">
        <v>2628</v>
      </c>
      <c r="AH47" s="3" t="s">
        <v>2753</v>
      </c>
      <c r="AI47" s="3" t="s">
        <v>2628</v>
      </c>
      <c r="AP47" s="96" t="s">
        <v>2754</v>
      </c>
    </row>
    <row r="48" spans="2:42" ht="14.4">
      <c r="B48" s="3" t="s">
        <v>2755</v>
      </c>
      <c r="C48" s="3" t="s">
        <v>2756</v>
      </c>
      <c r="D48" s="105" t="str">
        <f>'Languages France'!L281</f>
        <v>Abonnement</v>
      </c>
      <c r="E48" s="3" t="str">
        <f>LanguagesA!L250</f>
        <v>Abonnement</v>
      </c>
      <c r="F48" s="3" t="s">
        <v>2757</v>
      </c>
      <c r="L48" s="3" t="str">
        <f>_xlfn.CONCAT(Languages!C223,$K$31,Languages!C242,$K$32)</f>
        <v>Travel, Meetings &amp; Exhibitions  (Travel-related services)</v>
      </c>
      <c r="U48" s="16" t="s">
        <v>2758</v>
      </c>
      <c r="V48" s="17">
        <v>61</v>
      </c>
      <c r="W48" t="s">
        <v>2759</v>
      </c>
      <c r="X48"/>
      <c r="AA48" s="27"/>
      <c r="AC48" s="28"/>
      <c r="AF48" s="3" t="s">
        <v>2708</v>
      </c>
      <c r="AG48" s="3" t="s">
        <v>2753</v>
      </c>
      <c r="AH48" s="3" t="s">
        <v>2760</v>
      </c>
      <c r="AI48" s="3" t="s">
        <v>2753</v>
      </c>
      <c r="AP48" s="96" t="s">
        <v>2761</v>
      </c>
    </row>
    <row r="49" spans="2:42" ht="14.4">
      <c r="B49" s="3" t="str">
        <f>Languages!L108</f>
        <v>Select One…</v>
      </c>
      <c r="C49" s="3" t="str">
        <f>Languages!L108</f>
        <v>Select One…</v>
      </c>
      <c r="D49" s="105" t="str">
        <f>'Languages France'!L139</f>
        <v>Autorité fiscale</v>
      </c>
      <c r="E49" s="3" t="str">
        <f>LanguagesA!L139</f>
        <v>Steuerbehörde</v>
      </c>
      <c r="F49" s="3" t="s">
        <v>2762</v>
      </c>
      <c r="L49" s="3" t="str">
        <f>_xlfn.CONCAT(Languages!C224,$K$31,Languages!C243,$K$32)</f>
        <v>Workforce Services  (Temp/contingent worker and permanent recruitment)</v>
      </c>
      <c r="U49" s="6" t="s">
        <v>2763</v>
      </c>
      <c r="V49">
        <v>57</v>
      </c>
      <c r="W49" t="s">
        <v>2764</v>
      </c>
      <c r="X49"/>
      <c r="AA49" s="27"/>
      <c r="AC49" s="28"/>
      <c r="AF49" s="3" t="s">
        <v>2716</v>
      </c>
      <c r="AG49" s="3" t="s">
        <v>2760</v>
      </c>
      <c r="AH49" s="3" t="s">
        <v>2765</v>
      </c>
      <c r="AI49" s="3" t="s">
        <v>2760</v>
      </c>
      <c r="AP49" s="96" t="s">
        <v>2766</v>
      </c>
    </row>
    <row r="50" spans="2:42" ht="14.4">
      <c r="B50" s="3" t="s">
        <v>2767</v>
      </c>
      <c r="C50" s="3" t="str">
        <f>Languages!L185</f>
        <v>Corporation</v>
      </c>
      <c r="D50" s="105" t="str">
        <f>'Languages France'!L140</f>
        <v>Utilitaires</v>
      </c>
      <c r="E50" s="3" t="str">
        <f>LanguagesA!L140</f>
        <v>Energie- und Versorgungsunternehmen</v>
      </c>
      <c r="F50" s="3" t="s">
        <v>2768</v>
      </c>
      <c r="U50" s="6" t="s">
        <v>2769</v>
      </c>
      <c r="V50">
        <v>269</v>
      </c>
      <c r="W50" t="s">
        <v>2770</v>
      </c>
      <c r="X50"/>
      <c r="AA50" s="27"/>
      <c r="AC50" s="28"/>
      <c r="AF50" s="3" t="s">
        <v>2723</v>
      </c>
      <c r="AG50" s="3" t="s">
        <v>2771</v>
      </c>
      <c r="AH50" s="3" t="s">
        <v>2307</v>
      </c>
      <c r="AI50" s="3" t="s">
        <v>2765</v>
      </c>
      <c r="AP50" s="96" t="s">
        <v>2772</v>
      </c>
    </row>
    <row r="51" spans="2:42" ht="14.4">
      <c r="B51" s="3" t="s">
        <v>2773</v>
      </c>
      <c r="C51" s="3" t="str">
        <f>Languages!L186</f>
        <v>Foreign Corporation</v>
      </c>
      <c r="F51" s="3" t="s">
        <v>2774</v>
      </c>
      <c r="L51" s="3" t="s">
        <v>41</v>
      </c>
      <c r="U51" s="6" t="s">
        <v>2775</v>
      </c>
      <c r="V51">
        <v>243</v>
      </c>
      <c r="W51" t="s">
        <v>2776</v>
      </c>
      <c r="X51"/>
      <c r="AA51" s="27"/>
      <c r="AC51" s="28"/>
      <c r="AF51" s="3" t="s">
        <v>2726</v>
      </c>
      <c r="AG51" s="3" t="s">
        <v>2765</v>
      </c>
      <c r="AI51" s="3" t="s">
        <v>2307</v>
      </c>
      <c r="AP51" s="96" t="s">
        <v>2777</v>
      </c>
    </row>
    <row r="52" spans="2:42" ht="14.4">
      <c r="B52" s="3" t="s">
        <v>2778</v>
      </c>
      <c r="C52" s="3" t="str">
        <f>Languages!L187</f>
        <v>Foreign Government Agency</v>
      </c>
      <c r="L52" s="3" t="str">
        <f>Languages!L108</f>
        <v>Select One…</v>
      </c>
      <c r="U52" s="6" t="s">
        <v>2779</v>
      </c>
      <c r="V52">
        <v>682</v>
      </c>
      <c r="W52" t="s">
        <v>2780</v>
      </c>
      <c r="X52"/>
      <c r="AA52" s="27"/>
      <c r="AC52" s="28"/>
      <c r="AF52" s="3" t="s">
        <v>2730</v>
      </c>
      <c r="AG52" s="3" t="s">
        <v>2307</v>
      </c>
      <c r="AP52" s="96" t="s">
        <v>2781</v>
      </c>
    </row>
    <row r="53" spans="2:42" ht="14.4">
      <c r="B53" s="3" t="s">
        <v>2782</v>
      </c>
      <c r="C53" s="3" t="str">
        <f>Languages!L188</f>
        <v>Foreign Individual</v>
      </c>
      <c r="D53" s="105" t="s">
        <v>2783</v>
      </c>
      <c r="L53" s="3" t="str">
        <f>_xlfn.CONCAT(Languages!L206,$K$31,Languages!L225,$K$32)</f>
        <v>Cloud  (Infrastructure and Platform services provided by Cloud Providers (IaaS, PaaS))</v>
      </c>
      <c r="U53" s="6" t="s">
        <v>2784</v>
      </c>
      <c r="V53">
        <v>506</v>
      </c>
      <c r="W53" t="s">
        <v>2785</v>
      </c>
      <c r="X53"/>
      <c r="AA53" s="27"/>
      <c r="AC53" s="28"/>
      <c r="AF53" s="3" t="s">
        <v>2735</v>
      </c>
    </row>
    <row r="54" spans="2:42" ht="14.4">
      <c r="B54" s="3" t="s">
        <v>2786</v>
      </c>
      <c r="C54" s="3" t="str">
        <f>Languages!L189</f>
        <v>Foreign Partnership</v>
      </c>
      <c r="D54" s="105" t="str">
        <f>Languages!L108</f>
        <v>Select One…</v>
      </c>
      <c r="E54" s="3" t="s">
        <v>2787</v>
      </c>
      <c r="L54" s="3" t="str">
        <f>_xlfn.CONCAT(Languages!L207,$K$31,Languages!L226,$K$32)</f>
        <v>Consulting  (Management consulting, advisory services)</v>
      </c>
      <c r="U54" s="6" t="s">
        <v>2788</v>
      </c>
      <c r="V54">
        <v>225</v>
      </c>
      <c r="W54" t="s">
        <v>2789</v>
      </c>
      <c r="X54"/>
      <c r="AA54" s="27"/>
      <c r="AC54" s="28"/>
      <c r="AF54" s="3" t="s">
        <v>2739</v>
      </c>
    </row>
    <row r="55" spans="2:42" ht="14.4">
      <c r="B55" s="3" t="s">
        <v>2790</v>
      </c>
      <c r="C55" s="3" t="str">
        <f>Languages!L190</f>
        <v>Government Agency</v>
      </c>
      <c r="D55" s="105" t="str">
        <f>Languages!L194</f>
        <v>8A - 8A</v>
      </c>
      <c r="E55" s="3" t="s">
        <v>2</v>
      </c>
      <c r="L55" s="3" t="str">
        <f>_xlfn.CONCAT(Languages!L208,$K$31,Languages!L227,$K$32)</f>
        <v>Content  (Acquisition, purchasing, or licensing of data or content)</v>
      </c>
      <c r="U55" s="6" t="s">
        <v>2791</v>
      </c>
      <c r="V55">
        <v>385</v>
      </c>
      <c r="AA55" s="27"/>
      <c r="AC55" s="28"/>
      <c r="AF55" s="3" t="s">
        <v>2753</v>
      </c>
    </row>
    <row r="56" spans="2:42" ht="14.4">
      <c r="B56" s="3" t="s">
        <v>2792</v>
      </c>
      <c r="C56" s="3" t="str">
        <f>Languages!L191</f>
        <v>Individual</v>
      </c>
      <c r="D56" s="105" t="str">
        <f>Languages!L195</f>
        <v>Broad Based Black Economic Empowerment</v>
      </c>
      <c r="E56" s="3" t="s">
        <v>1607</v>
      </c>
      <c r="L56" s="3" t="str">
        <f>_xlfn.CONCAT(Languages!L209,$K$31,Languages!L228,$K$32)</f>
        <v>Digital Marketing Software  (Software that is primarily used for Marketing Services)</v>
      </c>
      <c r="U56" s="6" t="s">
        <v>2793</v>
      </c>
      <c r="V56">
        <v>357</v>
      </c>
      <c r="AA56" s="27"/>
      <c r="AC56" s="28"/>
      <c r="AF56" s="3" t="s">
        <v>2760</v>
      </c>
    </row>
    <row r="57" spans="2:42" ht="14.4">
      <c r="B57" s="3" t="s">
        <v>2794</v>
      </c>
      <c r="C57" s="3" t="str">
        <f>Languages!L192</f>
        <v>Partnership</v>
      </c>
      <c r="D57" s="105" t="str">
        <f>Languages!L196</f>
        <v>HUB Zone</v>
      </c>
      <c r="E57" s="3" t="s">
        <v>2795</v>
      </c>
      <c r="L57" s="3" t="str">
        <f>_xlfn.CONCAT(Languages!L210,$K$31,Languages!L229,$K$32)</f>
        <v>Distribution  (Courier, postage, shipping, freight, logistics, fulfillment and warehousing)</v>
      </c>
      <c r="U57" s="6" t="s">
        <v>2796</v>
      </c>
      <c r="V57">
        <v>420</v>
      </c>
      <c r="AA57" s="27"/>
      <c r="AC57" s="28"/>
      <c r="AF57" s="3" t="s">
        <v>2765</v>
      </c>
    </row>
    <row r="58" spans="2:42" ht="14.4">
      <c r="B58" s="3" t="s">
        <v>2797</v>
      </c>
      <c r="D58" s="105" t="str">
        <f>Languages!L197</f>
        <v>LGBT+ - LGBTBE</v>
      </c>
      <c r="E58" s="3" t="s">
        <v>2798</v>
      </c>
      <c r="L58" s="3" t="str">
        <f>_xlfn.CONCAT(Languages!L211,$K$31,Languages!L230,$K$32)</f>
        <v>Editorial, Production &amp; Operation Services  (Data or content transformation, excerption, web scraping, conversion, typesetting, copy-editing, proof-reading, and customer services)</v>
      </c>
      <c r="U58" s="6" t="s">
        <v>2799</v>
      </c>
      <c r="V58">
        <v>45</v>
      </c>
      <c r="AA58" s="27"/>
      <c r="AC58" s="28"/>
    </row>
    <row r="59" spans="2:42" ht="14.4">
      <c r="B59" s="3" t="s">
        <v>2800</v>
      </c>
      <c r="D59" s="105" t="str">
        <f>Languages!L198</f>
        <v>Micro Small Medium Enterprise</v>
      </c>
      <c r="E59" s="3" t="s">
        <v>2801</v>
      </c>
      <c r="L59" s="3" t="str">
        <f>_xlfn.CONCAT(Languages!L212,$K$31,Languages!L231,$K$32)</f>
        <v>Facilities &amp; Property Services  (Office Refurbishment, Cleaning, Facilities Mgmt.)</v>
      </c>
      <c r="U59" s="6" t="s">
        <v>2802</v>
      </c>
      <c r="V59">
        <v>253</v>
      </c>
      <c r="AA59" s="27"/>
      <c r="AC59" s="28"/>
    </row>
    <row r="60" spans="2:42" ht="14.4">
      <c r="B60" s="3" t="s">
        <v>2803</v>
      </c>
      <c r="C60" s="3" t="str">
        <f>'Languages France'!L107</f>
        <v>Veuillez sélectionner</v>
      </c>
      <c r="D60" s="105" t="str">
        <f>Languages!L199</f>
        <v>Minority Owned</v>
      </c>
      <c r="E60" s="3" t="s">
        <v>2804</v>
      </c>
      <c r="L60" s="3" t="str">
        <f>_xlfn.CONCAT(Languages!L213,$K$31,Languages!L232,$K$32)</f>
        <v>HR Services  (Employee Benefits/Programs, Training)</v>
      </c>
      <c r="U60" s="6" t="s">
        <v>2805</v>
      </c>
      <c r="V60" t="s">
        <v>2806</v>
      </c>
      <c r="AA60" s="27"/>
      <c r="AC60" s="28"/>
    </row>
    <row r="61" spans="2:42" ht="14.4">
      <c r="B61" s="3" t="s">
        <v>2807</v>
      </c>
      <c r="C61" s="3" t="str">
        <f>'Languages France'!L215</f>
        <v>Corporation</v>
      </c>
      <c r="D61" s="105" t="str">
        <f>Languages!L200</f>
        <v>Service-Disabled Veteran Owned</v>
      </c>
      <c r="E61" s="3" t="s">
        <v>2808</v>
      </c>
      <c r="L61" s="3" t="str">
        <f>_xlfn.CONCAT(Languages!L214,$K$31,Languages!L233,$K$32)</f>
        <v>Marketing  (Advertising, Agencies/Design, Copyright/Translation, Market Research, Promo Materials, PR, Telemarketing)</v>
      </c>
      <c r="U61" s="6" t="s">
        <v>2809</v>
      </c>
      <c r="V61" t="s">
        <v>2810</v>
      </c>
      <c r="AA61" s="27"/>
      <c r="AC61" s="28"/>
    </row>
    <row r="62" spans="2:42" ht="14.4">
      <c r="B62" s="3" t="s">
        <v>2811</v>
      </c>
      <c r="C62" s="3" t="str">
        <f>'Languages France'!L216</f>
        <v>Société étrangère</v>
      </c>
      <c r="D62" s="105" t="str">
        <f>Languages!L202</f>
        <v>Small Business</v>
      </c>
      <c r="L62" s="3" t="str">
        <f>_xlfn.CONCAT(Languages!L215,$K$31,Languages!L234,$K$32)</f>
        <v>Mobile  (Smartphones / mobile devices)</v>
      </c>
      <c r="U62" s="6" t="s">
        <v>2812</v>
      </c>
      <c r="V62">
        <v>593</v>
      </c>
      <c r="AA62" s="27"/>
      <c r="AC62" s="28"/>
    </row>
    <row r="63" spans="2:42" ht="14.4">
      <c r="B63" s="3" t="s">
        <v>2813</v>
      </c>
      <c r="C63" s="3" t="str">
        <f>'Languages France'!L217</f>
        <v>Agence gouvernementale étrangère</v>
      </c>
      <c r="D63" s="105" t="str">
        <f>Languages!L203</f>
        <v>Veteran Owned</v>
      </c>
      <c r="L63" s="3" t="str">
        <f>_xlfn.CONCAT(Languages!L216,$K$31,Languages!L235,$K$32)</f>
        <v>Printing &amp; Paper  (Manufacturing of printed products and paper purchasing)</v>
      </c>
      <c r="U63" s="6" t="s">
        <v>2814</v>
      </c>
      <c r="V63">
        <v>20</v>
      </c>
      <c r="AA63" s="27"/>
      <c r="AC63" s="28"/>
    </row>
    <row r="64" spans="2:42" ht="14.4">
      <c r="B64" s="3" t="s">
        <v>2815</v>
      </c>
      <c r="C64" s="3" t="str">
        <f>'Languages France'!L218</f>
        <v>Particulier étranger</v>
      </c>
      <c r="D64" s="105" t="str">
        <f>Languages!L204</f>
        <v>Woman Owned</v>
      </c>
      <c r="L64" s="3" t="str">
        <f>_xlfn.CONCAT(Languages!L217,$K$31,Languages!L236,$K$32)</f>
        <v>Professional Services  (Legal Services, Financial Services)</v>
      </c>
      <c r="U64" s="6" t="s">
        <v>2816</v>
      </c>
      <c r="V64">
        <v>503</v>
      </c>
      <c r="AA64" s="27"/>
      <c r="AC64" s="28"/>
    </row>
    <row r="65" spans="2:29" ht="14.4">
      <c r="B65" s="3" t="s">
        <v>2817</v>
      </c>
      <c r="C65" s="3" t="str">
        <f>'Languages France'!L219</f>
        <v>Partenariat étranger</v>
      </c>
      <c r="L65" s="3" t="str">
        <f>_xlfn.CONCAT(Languages!L218,$K$31,Languages!L237,$K$32)</f>
        <v>Software  (Software as a Services, Desktop Software, Server Software)</v>
      </c>
      <c r="U65" s="6" t="s">
        <v>2818</v>
      </c>
      <c r="V65">
        <v>240</v>
      </c>
      <c r="AA65" s="27"/>
      <c r="AC65" s="28"/>
    </row>
    <row r="66" spans="2:29" ht="14.4">
      <c r="B66" s="3" t="s">
        <v>2819</v>
      </c>
      <c r="C66" s="3" t="str">
        <f>'Languages France'!L220</f>
        <v>Agence gouvernementale</v>
      </c>
      <c r="L66" s="3" t="str">
        <f>_xlfn.CONCAT(Languages!L219,$K$31,Languages!L238,$K$32)</f>
        <v>Technology Hardware  (Computers, Servers, Printers, Monitors, Peripherals)</v>
      </c>
      <c r="U66" s="6" t="s">
        <v>2820</v>
      </c>
      <c r="V66">
        <v>291</v>
      </c>
      <c r="AA66" s="27"/>
      <c r="AC66" s="28"/>
    </row>
    <row r="67" spans="2:29" ht="14.4">
      <c r="B67" s="3" t="s">
        <v>2821</v>
      </c>
      <c r="C67" s="3" t="str">
        <f>'Languages France'!L221</f>
        <v>Individuel</v>
      </c>
      <c r="L67" s="3" t="str">
        <f>_xlfn.CONCAT(Languages!L220,$K$31,Languages!L239,$K$32)</f>
        <v>Technology ReSellers  (Technology purchased through Third Party Suppliers)</v>
      </c>
      <c r="U67" s="6" t="s">
        <v>2822</v>
      </c>
      <c r="V67">
        <v>372</v>
      </c>
      <c r="AA67" s="27"/>
      <c r="AC67" s="28"/>
    </row>
    <row r="68" spans="2:29" ht="14.4">
      <c r="B68" s="3" t="s">
        <v>2823</v>
      </c>
      <c r="C68" s="3" t="str">
        <f>'Languages France'!L222</f>
        <v>Partenariat</v>
      </c>
      <c r="D68" s="105" t="str">
        <f>'Languages France'!L107</f>
        <v>Veuillez sélectionner</v>
      </c>
      <c r="L68" s="3" t="str">
        <f>_xlfn.CONCAT(Languages!L221,$K$31,Languages!L240,$K$32)</f>
        <v>Technology Services  (Contractors and Consultants providing technology-related labor-based services)</v>
      </c>
      <c r="U68" s="6" t="s">
        <v>2824</v>
      </c>
      <c r="V68">
        <v>251</v>
      </c>
      <c r="AA68" s="27"/>
      <c r="AC68" s="28"/>
    </row>
    <row r="69" spans="2:29" ht="14.4">
      <c r="B69" s="3" t="s">
        <v>2825</v>
      </c>
      <c r="D69" s="105" t="str">
        <f>'Languages France'!L224</f>
        <v>8A - 8A</v>
      </c>
      <c r="L69" s="3" t="str">
        <f>_xlfn.CONCAT(Languages!L222,$K$31,Languages!L241,$K$32)</f>
        <v>Telecom &amp; Network  (Telephony and network related products and services)</v>
      </c>
      <c r="U69" s="6" t="s">
        <v>2826</v>
      </c>
      <c r="V69">
        <v>500</v>
      </c>
      <c r="AA69" s="27"/>
      <c r="AC69" s="28"/>
    </row>
    <row r="70" spans="2:29" ht="14.4">
      <c r="B70" s="3" t="s">
        <v>2827</v>
      </c>
      <c r="D70" s="105" t="str">
        <f>'Languages France'!L225</f>
        <v>Autonomisation économique des Noirs à grande échelle</v>
      </c>
      <c r="L70" s="3" t="str">
        <f>_xlfn.CONCAT(Languages!L223,$K$31,Languages!L242,$K$32)</f>
        <v>Travel, Meetings &amp; Exhibitions  (Travel-related services)</v>
      </c>
      <c r="U70" s="6" t="s">
        <v>2828</v>
      </c>
      <c r="V70">
        <v>298</v>
      </c>
      <c r="AA70" s="27"/>
      <c r="AC70" s="28"/>
    </row>
    <row r="71" spans="2:29" ht="14.4">
      <c r="B71" s="3" t="s">
        <v>2829</v>
      </c>
      <c r="C71" s="3" t="str">
        <f>LanguagesA!L107</f>
        <v>Wählen Sie</v>
      </c>
      <c r="D71" s="105" t="str">
        <f>'Languages France'!L226</f>
        <v>Zone HUB</v>
      </c>
      <c r="L71" s="3" t="str">
        <f>_xlfn.CONCAT(Languages!L224,$K$31,Languages!L243,$K$32)</f>
        <v>Workforce Services  (Temp/contingent worker and permanent recruitment)</v>
      </c>
      <c r="U71" s="6" t="s">
        <v>2830</v>
      </c>
      <c r="V71">
        <v>679</v>
      </c>
      <c r="AA71" s="27"/>
      <c r="AC71" s="28"/>
    </row>
    <row r="72" spans="2:29" ht="14.4">
      <c r="B72" s="3" t="s">
        <v>2831</v>
      </c>
      <c r="C72" s="3" t="str">
        <f>LanguagesA!L184</f>
        <v>Kapitalgesellschaft (Inland)</v>
      </c>
      <c r="D72" s="105" t="str">
        <f>'Languages France'!L227</f>
        <v>LGBT+ - LGBTBE</v>
      </c>
      <c r="U72" s="6" t="s">
        <v>2832</v>
      </c>
      <c r="V72">
        <v>358</v>
      </c>
      <c r="AA72" s="27"/>
      <c r="AC72" s="28"/>
    </row>
    <row r="73" spans="2:29" ht="14.4">
      <c r="B73" s="3" t="s">
        <v>2833</v>
      </c>
      <c r="C73" s="3" t="str">
        <f>LanguagesA!L185</f>
        <v>Kapitalgesellschaft (Ausland)</v>
      </c>
      <c r="D73" s="105" t="str">
        <f>'Languages France'!L228</f>
        <v>Micro Petite Moyenne Entreprise</v>
      </c>
      <c r="L73" s="3" t="s">
        <v>2834</v>
      </c>
      <c r="U73" s="6" t="s">
        <v>2467</v>
      </c>
      <c r="V73">
        <v>33</v>
      </c>
      <c r="AA73" s="27"/>
      <c r="AC73" s="28"/>
    </row>
    <row r="74" spans="2:29" ht="14.4">
      <c r="B74" s="3" t="s">
        <v>2835</v>
      </c>
      <c r="C74" s="3" t="str">
        <f>LanguagesA!L186</f>
        <v>Regierungsbehörde (Ausland)</v>
      </c>
      <c r="D74" s="105" t="str">
        <f>'Languages France'!L229</f>
        <v>Propriété minoritaire</v>
      </c>
      <c r="K74" s="3" t="s">
        <v>130</v>
      </c>
      <c r="L74" s="3" t="str">
        <f>'Languages France'!L107</f>
        <v>Veuillez sélectionner</v>
      </c>
      <c r="U74" s="6" t="s">
        <v>2836</v>
      </c>
      <c r="V74">
        <v>594</v>
      </c>
      <c r="AA74" s="27"/>
      <c r="AC74" s="28"/>
    </row>
    <row r="75" spans="2:29" ht="14.4">
      <c r="B75" s="3" t="s">
        <v>2837</v>
      </c>
      <c r="C75" s="3" t="str">
        <f>LanguagesA!L187</f>
        <v>Privatperson (Ausland)</v>
      </c>
      <c r="D75" s="105" t="str">
        <f>'Languages France'!L230</f>
        <v>Propriété d'anciens combattants handicapés</v>
      </c>
      <c r="K75" s="3" t="s">
        <v>132</v>
      </c>
      <c r="L75" s="3" t="str">
        <f>_xlfn.CONCAT('Languages France'!L236,$K$74,'Languages France'!L255,$K$75)</f>
        <v>Nuage  (Services d'infrastructure et de plateforme fournis par les fournisseurs de cloud (IaaS, PaaS))</v>
      </c>
      <c r="U75" s="6" t="s">
        <v>2838</v>
      </c>
      <c r="V75">
        <v>689</v>
      </c>
      <c r="AA75" s="27"/>
      <c r="AC75" s="28"/>
    </row>
    <row r="76" spans="2:29" ht="14.4">
      <c r="B76" s="3" t="s">
        <v>2839</v>
      </c>
      <c r="C76" s="3" t="str">
        <f>LanguagesA!L188</f>
        <v>Personengesellschaft (Ausland)</v>
      </c>
      <c r="D76" s="105" t="str">
        <f>'Languages France'!L232</f>
        <v>Petites entreprises</v>
      </c>
      <c r="L76" s="3" t="str">
        <f>_xlfn.CONCAT('Languages France'!L237,$K$74,'Languages France'!L256,$K$75)</f>
        <v>Consultant  (Conseil en gestion, services de conseil)</v>
      </c>
      <c r="U76" s="6" t="s">
        <v>2840</v>
      </c>
      <c r="V76">
        <v>262</v>
      </c>
      <c r="AA76" s="27"/>
      <c r="AC76" s="28"/>
    </row>
    <row r="77" spans="2:29" ht="14.4">
      <c r="B77" s="3" t="s">
        <v>2841</v>
      </c>
      <c r="C77" s="3" t="str">
        <f>LanguagesA!L189</f>
        <v>Regierungsbehörde (Inland)</v>
      </c>
      <c r="D77" s="105" t="str">
        <f>'Languages France'!L233</f>
        <v>Propriété d'anciens combattants</v>
      </c>
      <c r="L77" s="3" t="str">
        <f>_xlfn.CONCAT('Languages France'!L238,$K$74,'Languages France'!L257,$K$75)</f>
        <v>Contenu  (Acquisition, achat ou licence de données ou de contenu)</v>
      </c>
      <c r="U77" s="6" t="s">
        <v>2842</v>
      </c>
      <c r="V77">
        <v>241</v>
      </c>
      <c r="AA77" s="27"/>
      <c r="AC77" s="28"/>
    </row>
    <row r="78" spans="2:29" ht="14.4">
      <c r="B78" s="3" t="s">
        <v>2843</v>
      </c>
      <c r="C78" s="3" t="str">
        <f>LanguagesA!L190</f>
        <v>Privatperson (Inland)</v>
      </c>
      <c r="D78" s="105" t="str">
        <f>'Languages France'!L234</f>
        <v>Propriété d'une femme</v>
      </c>
      <c r="L78" s="3" t="str">
        <f>_xlfn.CONCAT('Languages France'!L239,$K$74,'Languages France'!L258,$K$75)</f>
        <v>Logiciel de marketing numérique  (Logiciel principalement utilisé pour les services marketing)</v>
      </c>
      <c r="U78" s="6" t="s">
        <v>2844</v>
      </c>
      <c r="V78">
        <v>220</v>
      </c>
      <c r="AA78" s="27"/>
      <c r="AC78" s="28"/>
    </row>
    <row r="79" spans="2:29" ht="14.4">
      <c r="B79" s="3" t="s">
        <v>2845</v>
      </c>
      <c r="C79" s="3" t="str">
        <f>LanguagesA!L191</f>
        <v>Personengesellschaft (Inland)</v>
      </c>
      <c r="L79" s="3" t="str">
        <f>_xlfn.CONCAT('Languages France'!L240,$K$74,'Languages France'!L259,$K$75)</f>
        <v>Distribution  (Courrier, affranchissement, expédition, fret, logistique, exécution et entreposage)</v>
      </c>
      <c r="U79" s="6" t="s">
        <v>2846</v>
      </c>
      <c r="V79">
        <v>995</v>
      </c>
      <c r="AA79" s="27"/>
      <c r="AC79" s="28"/>
    </row>
    <row r="80" spans="2:29" ht="14.4">
      <c r="B80" s="3" t="s">
        <v>2847</v>
      </c>
      <c r="L80" s="3" t="str">
        <f>_xlfn.CONCAT('Languages France'!L241,$K$74,'Languages France'!L260,$K$75)</f>
        <v>Services éditoriaux, de production et d'exploitation  (Transformation de données ou de contenu, extraction, web scraping, conversion, composition, révision, relecture et service client)</v>
      </c>
      <c r="U80" s="6" t="s">
        <v>2477</v>
      </c>
      <c r="V80">
        <v>49</v>
      </c>
      <c r="AA80" s="27"/>
      <c r="AC80" s="28"/>
    </row>
    <row r="81" spans="2:29" ht="14.4">
      <c r="B81" s="3" t="s">
        <v>2848</v>
      </c>
      <c r="D81" s="105" t="str">
        <f>LanguagesA!L107</f>
        <v>Wählen Sie</v>
      </c>
      <c r="L81" s="3" t="str">
        <f>_xlfn.CONCAT('Languages France'!L242,$K$74,'Languages France'!L261,$K$75)</f>
        <v>Installations et services immobiliers  (Rénovation de bureaux, nettoyage, gestion des installations)</v>
      </c>
      <c r="U81" s="6" t="s">
        <v>2849</v>
      </c>
      <c r="V81">
        <v>233</v>
      </c>
      <c r="AA81" s="27"/>
      <c r="AC81" s="28"/>
    </row>
    <row r="82" spans="2:29" ht="14.4">
      <c r="B82" s="3" t="s">
        <v>2850</v>
      </c>
      <c r="D82" s="105" t="str">
        <f>LanguagesA!L193</f>
        <v>8A - 8A</v>
      </c>
      <c r="L82" s="3" t="str">
        <f>_xlfn.CONCAT('Languages France'!L243,$K$74,'Languages France'!L262,$K$75)</f>
        <v>Services RH  (Avantages sociaux et programmes pour les employés, formation)</v>
      </c>
      <c r="U82" s="6" t="s">
        <v>2851</v>
      </c>
      <c r="V82">
        <v>350</v>
      </c>
      <c r="AA82" s="27"/>
      <c r="AC82" s="28"/>
    </row>
    <row r="83" spans="2:29" ht="14.4">
      <c r="B83" s="3" t="s">
        <v>2852</v>
      </c>
      <c r="D83" s="105" t="str">
        <f>LanguagesA!L194</f>
        <v>Breites wirtschaftliches Empowerment der Schwarzen</v>
      </c>
      <c r="L83" s="3" t="str">
        <f>_xlfn.CONCAT('Languages France'!L244,$K$74,'Languages France'!L263,$K$75)</f>
        <v>Commercialisation  (Publicité, Agences/Conception, Droits d'auteur/Traduction, Études de marché, Supports promotionnels, Relations publiques, Télémarketing)</v>
      </c>
      <c r="U83" s="6" t="s">
        <v>2853</v>
      </c>
      <c r="V83">
        <v>30</v>
      </c>
      <c r="AA83" s="27"/>
      <c r="AC83" s="28"/>
    </row>
    <row r="84" spans="2:29" ht="14.4">
      <c r="B84" s="3" t="s">
        <v>2854</v>
      </c>
      <c r="D84" s="105" t="str">
        <f>LanguagesA!L195</f>
        <v>HUB-Zone</v>
      </c>
      <c r="L84" s="3" t="str">
        <f>_xlfn.CONCAT('Languages France'!L245,$K$74,'Languages France'!L264,$K$75)</f>
        <v>Mobile  (Smartphones / appareils mobiles)</v>
      </c>
      <c r="U84" s="6" t="s">
        <v>2855</v>
      </c>
      <c r="V84">
        <v>299</v>
      </c>
      <c r="AA84" s="27"/>
      <c r="AC84" s="28"/>
    </row>
    <row r="85" spans="2:29" ht="14.4">
      <c r="B85" s="3" t="s">
        <v>2856</v>
      </c>
      <c r="D85" s="105" t="str">
        <f>LanguagesA!L196</f>
        <v>LGBT+ - LGBTBE</v>
      </c>
      <c r="L85" s="3" t="str">
        <f>_xlfn.CONCAT('Languages France'!L246,$K$74,'Languages France'!L265,$K$75)</f>
        <v>Impression et papier  (Fabrication de produits imprimés et achat de papier)</v>
      </c>
      <c r="U85" s="6" t="s">
        <v>2857</v>
      </c>
      <c r="V85" t="s">
        <v>2858</v>
      </c>
      <c r="AA85" s="27"/>
      <c r="AC85" s="28"/>
    </row>
    <row r="86" spans="2:29" ht="14.4">
      <c r="B86" s="3" t="s">
        <v>2859</v>
      </c>
      <c r="D86" s="105" t="str">
        <f>LanguagesA!L197</f>
        <v>Kleinstunternehmen, Klein- und Mittelunternehmen</v>
      </c>
      <c r="L86" s="3" t="str">
        <f>_xlfn.CONCAT('Languages France'!L247,$K$74,'Languages France'!L266,$K$75)</f>
        <v>Services professionnels  (Services juridiques, services financiers)</v>
      </c>
      <c r="U86" s="6" t="s">
        <v>2860</v>
      </c>
      <c r="V86">
        <v>590</v>
      </c>
      <c r="AA86" s="27"/>
      <c r="AC86" s="28"/>
    </row>
    <row r="87" spans="2:29" ht="14.4">
      <c r="B87" s="3" t="s">
        <v>2861</v>
      </c>
      <c r="D87" s="105" t="str">
        <f>LanguagesA!L198</f>
        <v>Minderheitsbesitz</v>
      </c>
      <c r="L87" s="3" t="str">
        <f>_xlfn.CONCAT('Languages France'!L248,$K$74,'Languages France'!L267,$K$75)</f>
        <v>Logiciel  (Logiciels en tant que services, logiciels de bureau, logiciels de serveur)</v>
      </c>
      <c r="U87" s="6" t="s">
        <v>2862</v>
      </c>
      <c r="V87" t="s">
        <v>2863</v>
      </c>
      <c r="AA87" s="27"/>
      <c r="AC87" s="28"/>
    </row>
    <row r="88" spans="2:29" ht="14.4">
      <c r="B88" s="3" t="s">
        <v>2864</v>
      </c>
      <c r="D88" s="105" t="str">
        <f>LanguagesA!L199</f>
        <v>Im Besitz eines kriegsversehrten Veteranen</v>
      </c>
      <c r="L88" s="3" t="str">
        <f>_xlfn.CONCAT('Languages France'!L249,$K$74,'Languages France'!L268,$K$75)</f>
        <v>Matériel technologique  (Ordinateurs, serveurs, imprimantes, écrans, périphériques)</v>
      </c>
      <c r="U88" s="6" t="s">
        <v>2865</v>
      </c>
      <c r="V88">
        <v>502</v>
      </c>
      <c r="AA88" s="27"/>
      <c r="AC88" s="28"/>
    </row>
    <row r="89" spans="2:29" ht="14.4">
      <c r="B89" s="3" t="s">
        <v>2866</v>
      </c>
      <c r="D89" s="105" t="str">
        <f>LanguagesA!L201</f>
        <v>Kleine Unternehmen</v>
      </c>
      <c r="L89" s="3" t="str">
        <f>_xlfn.CONCAT('Languages France'!L250,$K$74,'Languages France'!L269,$K$75)</f>
        <v>Revendeurs de technologie  (Technologie achetée auprès de fournisseurs tiers)</v>
      </c>
      <c r="U89" t="s">
        <v>2867</v>
      </c>
      <c r="V89" t="s">
        <v>2868</v>
      </c>
      <c r="AA89" s="27"/>
      <c r="AC89" s="28"/>
    </row>
    <row r="90" spans="2:29" ht="14.4">
      <c r="B90" s="3" t="s">
        <v>2869</v>
      </c>
      <c r="D90" s="105" t="str">
        <f>LanguagesA!L202</f>
        <v>Im Besitz eines Veteranen</v>
      </c>
      <c r="L90" s="3" t="str">
        <f>_xlfn.CONCAT('Languages France'!L251,$K$74,'Languages France'!L270,$K$75)</f>
        <v>Services technologiques  (Entrepreneurs et consultants fournissant des services de main-d'œuvre liés à la technologie)</v>
      </c>
      <c r="U90" s="6" t="s">
        <v>2870</v>
      </c>
      <c r="V90">
        <v>224</v>
      </c>
      <c r="AA90" s="27"/>
      <c r="AC90" s="28"/>
    </row>
    <row r="91" spans="2:29" ht="14.4">
      <c r="B91" s="3" t="s">
        <v>2871</v>
      </c>
      <c r="D91" s="105" t="str">
        <f>LanguagesA!L203</f>
        <v>Im Besitz einer Frau</v>
      </c>
      <c r="L91" s="3" t="str">
        <f>_xlfn.CONCAT('Languages France'!L252,$K$74,'Languages France'!L271,$K$75)</f>
        <v>Télécoms et réseaux  (Produits et services liés à la téléphonie et au réseau)</v>
      </c>
      <c r="U91" s="6" t="s">
        <v>2872</v>
      </c>
      <c r="V91">
        <v>245</v>
      </c>
      <c r="AA91" s="27"/>
      <c r="AC91" s="28"/>
    </row>
    <row r="92" spans="2:29" ht="14.4">
      <c r="B92" s="3" t="s">
        <v>2873</v>
      </c>
      <c r="L92" s="3" t="str">
        <f>_xlfn.CONCAT('Languages France'!L253,$K$74,'Languages France'!L272,$K$75)</f>
        <v>Voyages, réunions et expositions  (Services liés aux voyages)</v>
      </c>
      <c r="U92" s="6" t="s">
        <v>2874</v>
      </c>
      <c r="V92">
        <v>592</v>
      </c>
      <c r="AA92" s="27"/>
      <c r="AC92" s="28"/>
    </row>
    <row r="93" spans="2:29" ht="14.4">
      <c r="B93" s="3" t="s">
        <v>2875</v>
      </c>
      <c r="L93" s="3" t="str">
        <f>_xlfn.CONCAT('Languages France'!L254,$K$74,'Languages France'!L273,$K$75)</f>
        <v>Services de main-d'œuvre  (Recrutement de travailleurs temporaires/intérimaires et permanents)</v>
      </c>
      <c r="U93" s="6" t="s">
        <v>2876</v>
      </c>
      <c r="V93">
        <v>509</v>
      </c>
      <c r="AA93" s="27"/>
      <c r="AC93" s="28"/>
    </row>
    <row r="94" spans="2:29" ht="14.4">
      <c r="B94" s="3" t="s">
        <v>2877</v>
      </c>
      <c r="U94" s="6" t="s">
        <v>2878</v>
      </c>
      <c r="V94">
        <v>672</v>
      </c>
      <c r="AA94" s="27"/>
      <c r="AC94" s="28"/>
    </row>
    <row r="95" spans="2:29" ht="14.4">
      <c r="B95" s="3" t="s">
        <v>2879</v>
      </c>
      <c r="L95" s="3" t="s">
        <v>2880</v>
      </c>
      <c r="U95" s="6" t="s">
        <v>2881</v>
      </c>
      <c r="V95">
        <v>504</v>
      </c>
      <c r="AA95" s="27"/>
      <c r="AC95" s="28"/>
    </row>
    <row r="96" spans="2:29" ht="14.4">
      <c r="B96" s="3" t="s">
        <v>2882</v>
      </c>
      <c r="K96" s="3" t="s">
        <v>130</v>
      </c>
      <c r="L96" s="3" t="str">
        <f>LanguagesA!L107</f>
        <v>Wählen Sie</v>
      </c>
      <c r="U96" s="6" t="s">
        <v>2487</v>
      </c>
      <c r="V96">
        <v>852</v>
      </c>
    </row>
    <row r="97" spans="2:29" ht="14.4">
      <c r="B97" s="3" t="s">
        <v>2294</v>
      </c>
      <c r="K97" s="3" t="s">
        <v>132</v>
      </c>
      <c r="L97" s="3" t="str">
        <f>_xlfn.CONCAT(LanguagesA!L205,$K$96,LanguagesA!L224,$K$97)</f>
        <v>Cloud-Lösungen  (Von Cloud-Anbietern bereitgestellte Infrastruktur- und Plattformdienste (IaaS, PaaS))</v>
      </c>
      <c r="U97" s="6" t="s">
        <v>2883</v>
      </c>
      <c r="V97">
        <v>36</v>
      </c>
    </row>
    <row r="98" spans="2:29" ht="14.4">
      <c r="L98" s="3" t="str">
        <f>_xlfn.CONCAT(LanguagesA!L206,$K$96,LanguagesA!L225,$K$97)</f>
        <v>Unternehmensberatung  (Unternehmensberatung, Beratungsleistungen)</v>
      </c>
      <c r="U98" s="6" t="s">
        <v>2884</v>
      </c>
      <c r="V98">
        <v>354</v>
      </c>
    </row>
    <row r="99" spans="2:29" ht="14.4">
      <c r="B99" s="3" t="str">
        <f>'Languages France'!L107</f>
        <v>Veuillez sélectionner</v>
      </c>
      <c r="L99" s="3" t="str">
        <f>_xlfn.CONCAT(LanguagesA!L207,$K$96,LanguagesA!L226,$K$97)</f>
        <v>Content/Inhalte  (Erwerb, Kauf oder Lizenzierung von Daten oder Inhalten)</v>
      </c>
      <c r="U99" s="6" t="s">
        <v>2498</v>
      </c>
      <c r="V99">
        <v>91</v>
      </c>
    </row>
    <row r="100" spans="2:29" ht="14.4">
      <c r="B100" s="3" t="s">
        <v>2782</v>
      </c>
      <c r="L100" s="3" t="str">
        <f>_xlfn.CONCAT(LanguagesA!L208,$K$96,LanguagesA!L227,$K$97)</f>
        <v>Digitale Marketingsoftware  (Software, die hauptsächlich für Marketing-Services verwendet wird)</v>
      </c>
      <c r="U100" s="6" t="s">
        <v>2885</v>
      </c>
      <c r="V100">
        <v>62</v>
      </c>
      <c r="AA100" s="27"/>
      <c r="AC100" s="28"/>
    </row>
    <row r="101" spans="2:29" ht="14.4">
      <c r="B101" s="3" t="s">
        <v>2835</v>
      </c>
      <c r="L101" s="3" t="str">
        <f>_xlfn.CONCAT(LanguagesA!L209,$K$96,LanguagesA!L228,$K$97)</f>
        <v>Logistik  (Kurierdienst, Porto, Versand, Fracht, Logistik, Bestellabwicklung und Lagerhaltung)</v>
      </c>
      <c r="U101" s="6" t="s">
        <v>2886</v>
      </c>
      <c r="V101">
        <v>964</v>
      </c>
      <c r="AA101" s="27"/>
      <c r="AC101" s="28"/>
    </row>
    <row r="102" spans="2:29" ht="14.4">
      <c r="L102" s="3" t="str">
        <f>_xlfn.CONCAT(LanguagesA!L210,$K$96,LanguagesA!L229,$K$97)</f>
        <v>Datenkonvertierung und Lektoratsdienste  (Datenverarbeitung, Exzerpieren, Web Scraping, Konvertierung, Satz, Lektorat, Korrekturlesen und Kundendienst)</v>
      </c>
      <c r="U102" s="6" t="s">
        <v>2508</v>
      </c>
      <c r="V102">
        <v>353</v>
      </c>
      <c r="AA102" s="27"/>
      <c r="AC102" s="28"/>
    </row>
    <row r="103" spans="2:29" ht="14.4">
      <c r="B103" s="3" t="str">
        <f>LanguagesA!L107</f>
        <v>Wählen Sie</v>
      </c>
      <c r="L103" s="3" t="str">
        <f>_xlfn.CONCAT(LanguagesA!L211,$K$96,LanguagesA!L230,$K$97)</f>
        <v>Gebäude- und Immobilienmanagement  (Bürorenovierung, Reinigung, Gebäudemanagement.)</v>
      </c>
      <c r="U103" s="6" t="s">
        <v>2887</v>
      </c>
      <c r="V103" t="s">
        <v>2888</v>
      </c>
      <c r="AA103" s="27"/>
      <c r="AC103" s="28"/>
    </row>
    <row r="104" spans="2:29" ht="14.4">
      <c r="B104" s="3" t="s">
        <v>2778</v>
      </c>
      <c r="L104" s="3" t="str">
        <f>_xlfn.CONCAT(LanguagesA!L212,$K$96,LanguagesA!L231,$K$97)</f>
        <v>HR Dienstleistungen für Mitarbeiter  (Mitarbeitervorteile/-programme, Schulungen, Beratungsdienstleistungen in HR)</v>
      </c>
      <c r="U104" s="6" t="s">
        <v>2889</v>
      </c>
      <c r="V104">
        <v>972</v>
      </c>
      <c r="AA104" s="27"/>
      <c r="AC104" s="28"/>
    </row>
    <row r="105" spans="2:29" ht="14.4">
      <c r="B105" s="3" t="s">
        <v>2819</v>
      </c>
      <c r="L105" s="3" t="str">
        <f>_xlfn.CONCAT(LanguagesA!L213,$K$96,LanguagesA!L232,$K$97)</f>
        <v>Marketing  (Werbung, Agenturen/Design, Urheberrecht/Übersetzung, Marktforschung, Werbematerialien, PR, Telemarketing)</v>
      </c>
      <c r="U105" s="6" t="s">
        <v>2890</v>
      </c>
      <c r="V105">
        <v>39</v>
      </c>
      <c r="AA105" s="27"/>
      <c r="AC105" s="28"/>
    </row>
    <row r="106" spans="2:29" ht="14.4">
      <c r="B106" s="3" t="s">
        <v>2833</v>
      </c>
      <c r="L106" s="3" t="str">
        <f>_xlfn.CONCAT(LanguagesA!L214,$K$96,LanguagesA!L233,$K$97)</f>
        <v>Mobilfunkgeräte  (Smartphones/Mobilgeräte)</v>
      </c>
      <c r="U106" s="6" t="s">
        <v>2891</v>
      </c>
      <c r="V106" t="s">
        <v>2892</v>
      </c>
      <c r="AA106" s="27"/>
      <c r="AC106" s="28"/>
    </row>
    <row r="107" spans="2:29" ht="14.4">
      <c r="L107" s="3" t="str">
        <f>_xlfn.CONCAT(LanguagesA!L215,$K$96,LanguagesA!L234,$K$97)</f>
        <v>Druck &amp; Papier  (Herstellung von Druckerzeugnissen und Papiereinkauf)</v>
      </c>
      <c r="U107" s="6" t="s">
        <v>2520</v>
      </c>
      <c r="V107">
        <v>81</v>
      </c>
      <c r="AA107" s="27"/>
      <c r="AC107" s="28"/>
    </row>
    <row r="108" spans="2:29" ht="14.4">
      <c r="L108" s="3" t="str">
        <f>_xlfn.CONCAT(LanguagesA!L216,$K$96,LanguagesA!L235,$K$97)</f>
        <v>Rechtsberatung und Finanzdienstleistungen  (Rechtsberatung, Finanzdienstleistungen)</v>
      </c>
      <c r="U108" s="6" t="s">
        <v>2893</v>
      </c>
      <c r="V108" t="s">
        <v>2894</v>
      </c>
      <c r="AA108" s="27"/>
      <c r="AC108" s="28"/>
    </row>
    <row r="109" spans="2:29" ht="14.4">
      <c r="L109" s="3" t="str">
        <f>_xlfn.CONCAT(LanguagesA!L217,$K$96,LanguagesA!L236,$K$97)</f>
        <v>Software  (Software as a Service, Desktop-Software, Server-Software)</v>
      </c>
      <c r="U109" s="6" t="s">
        <v>2895</v>
      </c>
      <c r="V109" t="s">
        <v>2894</v>
      </c>
      <c r="AA109" s="27"/>
      <c r="AC109" s="28"/>
    </row>
    <row r="110" spans="2:29" ht="14.4">
      <c r="L110" s="3" t="str">
        <f>_xlfn.CONCAT(LanguagesA!L218,$K$96,LanguagesA!L237,$K$97)</f>
        <v>Technologie-Hardware  (Computer, Server, Drucker, Monitore, Peripheriegeräte)</v>
      </c>
      <c r="U110" s="6" t="s">
        <v>2896</v>
      </c>
      <c r="V110">
        <v>962</v>
      </c>
      <c r="AA110" s="27"/>
      <c r="AC110" s="28"/>
    </row>
    <row r="111" spans="2:29" ht="14.4">
      <c r="L111" s="3" t="str">
        <f>_xlfn.CONCAT(LanguagesA!L219,$K$96,LanguagesA!L238,$K$97)</f>
        <v>IT Drittanbieter  (Über Drittanbieter erworbene Technologie)</v>
      </c>
      <c r="U111" s="6" t="s">
        <v>2897</v>
      </c>
      <c r="V111">
        <v>7</v>
      </c>
      <c r="AA111" s="27"/>
      <c r="AC111" s="28"/>
    </row>
    <row r="112" spans="2:29" ht="14.4">
      <c r="L112" s="3" t="str">
        <f>_xlfn.CONCAT(LanguagesA!L220,$K$96,LanguagesA!L239,$K$97)</f>
        <v>IT Dienstleistungen  (Anbieter von technologiebasierten Dienstleistungen)</v>
      </c>
      <c r="U112" s="6" t="s">
        <v>2898</v>
      </c>
      <c r="V112">
        <v>254</v>
      </c>
      <c r="AA112" s="27"/>
      <c r="AC112" s="28"/>
    </row>
    <row r="113" spans="12:29" ht="14.4">
      <c r="L113" s="3" t="str">
        <f>_xlfn.CONCAT(LanguagesA!L221,$K$96,LanguagesA!L240,$K$97)</f>
        <v>Telekommunikation &amp; Internet  (Telekommunikationsdienste und Telekommunikationsprodukte)</v>
      </c>
      <c r="U113" s="6" t="s">
        <v>2899</v>
      </c>
      <c r="V113">
        <v>686</v>
      </c>
      <c r="AA113" s="27"/>
      <c r="AC113" s="28"/>
    </row>
    <row r="114" spans="12:29" ht="14.4">
      <c r="L114" s="3" t="str">
        <f>_xlfn.CONCAT(LanguagesA!L222,$K$96,LanguagesA!L241,$K$97)</f>
        <v>Reisen, Tagungen &amp; Ausstellungen  (Anbieter von Tagungen, Ausstellungen sowie Reisedienstleister)</v>
      </c>
      <c r="U114" s="6" t="s">
        <v>2900</v>
      </c>
      <c r="V114">
        <v>965</v>
      </c>
      <c r="AA114" s="27"/>
      <c r="AC114" s="28"/>
    </row>
    <row r="115" spans="12:29" ht="14.4">
      <c r="L115" s="3" t="str">
        <f>_xlfn.CONCAT(LanguagesA!L223,$K$96,LanguagesA!L242,$K$97)</f>
        <v>Personaldienstleister  (Recruiting, Anbieter von Leiharbeitskräften)</v>
      </c>
      <c r="U115" s="6" t="s">
        <v>2901</v>
      </c>
      <c r="V115">
        <v>996</v>
      </c>
      <c r="AA115" s="27"/>
      <c r="AC115" s="28"/>
    </row>
    <row r="116" spans="12:29" ht="14.4">
      <c r="U116" t="s">
        <v>2902</v>
      </c>
      <c r="V116">
        <v>856</v>
      </c>
      <c r="AA116" s="27"/>
      <c r="AC116" s="28"/>
    </row>
    <row r="117" spans="12:29" ht="14.4">
      <c r="U117" s="6" t="s">
        <v>2903</v>
      </c>
      <c r="V117">
        <v>371</v>
      </c>
      <c r="AA117" s="27"/>
      <c r="AC117" s="28"/>
    </row>
    <row r="118" spans="12:29" ht="14.4">
      <c r="U118" s="6" t="s">
        <v>2904</v>
      </c>
      <c r="V118">
        <v>961</v>
      </c>
      <c r="AA118" s="27"/>
      <c r="AC118" s="28"/>
    </row>
    <row r="119" spans="12:29" ht="14.4">
      <c r="U119" s="6" t="s">
        <v>2905</v>
      </c>
      <c r="V119">
        <v>266</v>
      </c>
      <c r="AA119" s="27"/>
      <c r="AC119" s="28"/>
    </row>
    <row r="120" spans="12:29" ht="14.4">
      <c r="U120" s="6" t="s">
        <v>2906</v>
      </c>
      <c r="V120">
        <v>231</v>
      </c>
      <c r="AA120" s="27"/>
      <c r="AC120" s="28"/>
    </row>
    <row r="121" spans="12:29" ht="14.4">
      <c r="U121" t="s">
        <v>2907</v>
      </c>
      <c r="V121">
        <v>218</v>
      </c>
      <c r="AA121" s="27"/>
      <c r="AC121" s="28"/>
    </row>
    <row r="122" spans="12:29" ht="14.4">
      <c r="U122" s="6" t="s">
        <v>2908</v>
      </c>
      <c r="V122">
        <v>423</v>
      </c>
      <c r="AA122" s="27"/>
      <c r="AC122" s="28"/>
    </row>
    <row r="123" spans="12:29" ht="14.4">
      <c r="U123" s="6" t="s">
        <v>2909</v>
      </c>
      <c r="V123">
        <v>370</v>
      </c>
      <c r="AA123" s="27"/>
      <c r="AC123" s="28"/>
    </row>
    <row r="124" spans="12:29" ht="14.4">
      <c r="U124" s="6" t="s">
        <v>2910</v>
      </c>
      <c r="V124">
        <v>352</v>
      </c>
      <c r="AA124" s="27"/>
      <c r="AC124" s="28"/>
    </row>
    <row r="125" spans="12:29" ht="14.4">
      <c r="U125" t="s">
        <v>2911</v>
      </c>
      <c r="V125">
        <v>853</v>
      </c>
      <c r="AA125" s="27"/>
      <c r="AC125" s="28"/>
    </row>
    <row r="126" spans="12:29" ht="14.4">
      <c r="U126" t="s">
        <v>2912</v>
      </c>
      <c r="V126">
        <v>389</v>
      </c>
      <c r="AA126" s="27"/>
      <c r="AC126" s="28"/>
    </row>
    <row r="127" spans="12:29" ht="14.4">
      <c r="U127" s="6" t="s">
        <v>2913</v>
      </c>
      <c r="V127">
        <v>261</v>
      </c>
      <c r="AA127" s="27"/>
      <c r="AC127" s="28"/>
    </row>
    <row r="128" spans="12:29" ht="14.4">
      <c r="U128" s="6" t="s">
        <v>2914</v>
      </c>
      <c r="V128">
        <v>265</v>
      </c>
      <c r="AA128" s="27"/>
      <c r="AC128" s="28"/>
    </row>
    <row r="129" spans="21:29" ht="14.4">
      <c r="U129" s="6" t="s">
        <v>2565</v>
      </c>
      <c r="V129">
        <v>60</v>
      </c>
      <c r="AA129" s="27"/>
      <c r="AC129" s="28"/>
    </row>
    <row r="130" spans="21:29" ht="14.4">
      <c r="U130" s="6" t="s">
        <v>2915</v>
      </c>
      <c r="V130">
        <v>960</v>
      </c>
      <c r="AA130" s="27"/>
      <c r="AC130" s="28"/>
    </row>
    <row r="131" spans="21:29" ht="14.4">
      <c r="U131" s="6" t="s">
        <v>2916</v>
      </c>
      <c r="V131">
        <v>223</v>
      </c>
      <c r="AA131" s="27"/>
      <c r="AC131" s="28"/>
    </row>
    <row r="132" spans="21:29" ht="14.4">
      <c r="U132" s="6" t="s">
        <v>2917</v>
      </c>
      <c r="V132">
        <v>356</v>
      </c>
      <c r="AA132" s="27"/>
      <c r="AC132" s="28"/>
    </row>
    <row r="133" spans="21:29" ht="14.4">
      <c r="U133" t="s">
        <v>2918</v>
      </c>
      <c r="V133">
        <v>692</v>
      </c>
      <c r="AA133" s="27"/>
      <c r="AC133" s="28"/>
    </row>
    <row r="134" spans="21:29" ht="14.4">
      <c r="U134" s="6" t="s">
        <v>2919</v>
      </c>
      <c r="V134">
        <v>596</v>
      </c>
      <c r="AA134" s="27"/>
      <c r="AC134" s="28"/>
    </row>
    <row r="135" spans="21:29" ht="14.4">
      <c r="U135" s="6" t="s">
        <v>2920</v>
      </c>
      <c r="V135">
        <v>222</v>
      </c>
      <c r="AA135" s="27"/>
      <c r="AC135" s="28"/>
    </row>
    <row r="136" spans="21:29" ht="14.4">
      <c r="U136" s="6" t="s">
        <v>2921</v>
      </c>
      <c r="V136">
        <v>230</v>
      </c>
      <c r="AA136" s="27"/>
      <c r="AC136" s="28"/>
    </row>
    <row r="137" spans="21:29" ht="14.4">
      <c r="U137" s="6" t="s">
        <v>2922</v>
      </c>
      <c r="V137">
        <v>262</v>
      </c>
      <c r="AA137" s="27"/>
      <c r="AC137" s="28"/>
    </row>
    <row r="138" spans="21:29" ht="14.4">
      <c r="U138" s="6" t="s">
        <v>2923</v>
      </c>
      <c r="V138">
        <v>52</v>
      </c>
      <c r="AA138" s="27"/>
      <c r="AC138" s="28"/>
    </row>
    <row r="139" spans="21:29" ht="14.4">
      <c r="U139" t="s">
        <v>2924</v>
      </c>
      <c r="V139">
        <v>691</v>
      </c>
      <c r="AA139" s="27"/>
      <c r="AC139" s="28"/>
    </row>
    <row r="140" spans="21:29" ht="14.4">
      <c r="U140" t="s">
        <v>2925</v>
      </c>
      <c r="V140">
        <v>373</v>
      </c>
      <c r="AA140" s="27"/>
      <c r="AC140" s="28"/>
    </row>
    <row r="141" spans="21:29" ht="14.4">
      <c r="U141" s="6" t="s">
        <v>2926</v>
      </c>
      <c r="V141">
        <v>377</v>
      </c>
      <c r="AA141" s="27"/>
      <c r="AC141" s="28"/>
    </row>
    <row r="142" spans="21:29" ht="14.4">
      <c r="U142" s="6" t="s">
        <v>2927</v>
      </c>
      <c r="V142">
        <v>976</v>
      </c>
      <c r="AA142" s="27"/>
      <c r="AC142" s="28"/>
    </row>
    <row r="143" spans="21:29" ht="14.4">
      <c r="U143" s="6" t="s">
        <v>2928</v>
      </c>
      <c r="V143">
        <v>382</v>
      </c>
      <c r="AA143" s="27"/>
      <c r="AC143" s="28"/>
    </row>
    <row r="144" spans="21:29" ht="14.4">
      <c r="U144" s="6" t="s">
        <v>2929</v>
      </c>
      <c r="V144" t="s">
        <v>2930</v>
      </c>
      <c r="AA144" s="27"/>
      <c r="AC144" s="28"/>
    </row>
    <row r="145" spans="21:29" ht="14.4">
      <c r="U145" s="6" t="s">
        <v>2931</v>
      </c>
      <c r="V145">
        <v>212</v>
      </c>
      <c r="AA145" s="27"/>
      <c r="AC145" s="28"/>
    </row>
    <row r="146" spans="21:29" ht="14.4">
      <c r="U146" s="6" t="s">
        <v>2932</v>
      </c>
      <c r="V146">
        <v>258</v>
      </c>
      <c r="AA146" s="27"/>
      <c r="AC146" s="28"/>
    </row>
    <row r="147" spans="21:29" ht="14.4">
      <c r="U147" s="6" t="s">
        <v>2933</v>
      </c>
      <c r="V147">
        <v>95</v>
      </c>
      <c r="AA147" s="27"/>
      <c r="AC147" s="28"/>
    </row>
    <row r="148" spans="21:29" ht="14.4">
      <c r="U148" s="6" t="s">
        <v>2934</v>
      </c>
      <c r="V148">
        <v>264</v>
      </c>
      <c r="AA148" s="27"/>
      <c r="AC148" s="28"/>
    </row>
    <row r="149" spans="21:29" ht="14.4">
      <c r="U149" s="6" t="s">
        <v>2935</v>
      </c>
      <c r="V149">
        <v>674</v>
      </c>
      <c r="AA149" s="27"/>
      <c r="AC149" s="28"/>
    </row>
    <row r="150" spans="21:29" ht="14.4">
      <c r="U150" s="6" t="s">
        <v>2936</v>
      </c>
      <c r="V150">
        <v>977</v>
      </c>
      <c r="AA150" s="27"/>
      <c r="AC150" s="28"/>
    </row>
    <row r="151" spans="21:29" ht="14.4">
      <c r="U151" s="6" t="s">
        <v>2575</v>
      </c>
      <c r="V151">
        <v>31</v>
      </c>
      <c r="AA151" s="27"/>
      <c r="AC151" s="28"/>
    </row>
    <row r="152" spans="21:29" ht="14.4">
      <c r="U152" s="6" t="s">
        <v>2937</v>
      </c>
      <c r="V152">
        <v>599</v>
      </c>
      <c r="AA152" s="27"/>
      <c r="AC152" s="28"/>
    </row>
    <row r="153" spans="21:29" ht="14.4">
      <c r="U153" s="6" t="s">
        <v>2938</v>
      </c>
      <c r="V153">
        <v>687</v>
      </c>
      <c r="AA153" s="27"/>
      <c r="AC153" s="28"/>
    </row>
    <row r="154" spans="21:29" ht="14.4">
      <c r="U154" s="6" t="s">
        <v>2585</v>
      </c>
      <c r="V154">
        <v>64</v>
      </c>
      <c r="AA154" s="27"/>
      <c r="AC154" s="28"/>
    </row>
    <row r="155" spans="21:29" ht="14.4">
      <c r="U155" s="6" t="s">
        <v>2939</v>
      </c>
      <c r="V155">
        <v>505</v>
      </c>
    </row>
    <row r="156" spans="21:29" ht="14.4">
      <c r="U156" s="6" t="s">
        <v>2940</v>
      </c>
      <c r="V156">
        <v>227</v>
      </c>
    </row>
    <row r="157" spans="21:29" ht="14.4">
      <c r="U157" s="6" t="s">
        <v>2941</v>
      </c>
      <c r="V157">
        <v>234</v>
      </c>
    </row>
    <row r="158" spans="21:29" ht="14.4">
      <c r="U158" s="6" t="s">
        <v>2942</v>
      </c>
      <c r="V158">
        <v>683</v>
      </c>
    </row>
    <row r="159" spans="21:29" ht="14.4">
      <c r="U159" s="6" t="s">
        <v>2943</v>
      </c>
      <c r="V159">
        <v>672</v>
      </c>
    </row>
    <row r="160" spans="21:29" ht="14.4">
      <c r="U160" t="s">
        <v>2944</v>
      </c>
      <c r="V160">
        <v>850</v>
      </c>
    </row>
    <row r="161" spans="21:22" ht="14.4">
      <c r="U161" s="6" t="s">
        <v>2945</v>
      </c>
      <c r="V161" t="s">
        <v>2946</v>
      </c>
    </row>
    <row r="162" spans="21:22" ht="14.4">
      <c r="U162" s="6" t="s">
        <v>2947</v>
      </c>
      <c r="V162">
        <v>47</v>
      </c>
    </row>
    <row r="163" spans="21:22" ht="14.4">
      <c r="U163" s="6" t="s">
        <v>2948</v>
      </c>
      <c r="V163">
        <v>968</v>
      </c>
    </row>
    <row r="164" spans="21:22" ht="14.4">
      <c r="U164" s="6" t="s">
        <v>2949</v>
      </c>
      <c r="V164">
        <v>92</v>
      </c>
    </row>
    <row r="165" spans="21:22" ht="14.4">
      <c r="U165" s="6" t="s">
        <v>2950</v>
      </c>
      <c r="V165">
        <v>680</v>
      </c>
    </row>
    <row r="166" spans="21:22" ht="14.4">
      <c r="U166" t="s">
        <v>2951</v>
      </c>
      <c r="V166">
        <v>970</v>
      </c>
    </row>
    <row r="167" spans="21:22" ht="14.4">
      <c r="U167" s="6" t="s">
        <v>2952</v>
      </c>
      <c r="V167">
        <v>507</v>
      </c>
    </row>
    <row r="168" spans="21:22" ht="14.4">
      <c r="U168" s="6" t="s">
        <v>2953</v>
      </c>
      <c r="V168">
        <v>675</v>
      </c>
    </row>
    <row r="169" spans="21:22" ht="14.4">
      <c r="U169" s="6" t="s">
        <v>2954</v>
      </c>
      <c r="V169">
        <v>595</v>
      </c>
    </row>
    <row r="170" spans="21:22" ht="14.4">
      <c r="U170" s="6" t="s">
        <v>2955</v>
      </c>
      <c r="V170">
        <v>51</v>
      </c>
    </row>
    <row r="171" spans="21:22" ht="14.4">
      <c r="U171" s="6" t="s">
        <v>2605</v>
      </c>
      <c r="V171">
        <v>63</v>
      </c>
    </row>
    <row r="172" spans="21:22" ht="14.4">
      <c r="U172" s="6" t="s">
        <v>2956</v>
      </c>
      <c r="V172">
        <v>64</v>
      </c>
    </row>
    <row r="173" spans="21:22" ht="14.4">
      <c r="U173" s="6" t="s">
        <v>2957</v>
      </c>
      <c r="V173">
        <v>48</v>
      </c>
    </row>
    <row r="174" spans="21:22" ht="14.4">
      <c r="U174" s="6" t="s">
        <v>2958</v>
      </c>
      <c r="V174">
        <v>351</v>
      </c>
    </row>
    <row r="175" spans="21:22" ht="14.4">
      <c r="U175" s="6" t="s">
        <v>2959</v>
      </c>
      <c r="V175" t="s">
        <v>2960</v>
      </c>
    </row>
    <row r="176" spans="21:22" ht="14.4">
      <c r="U176" s="6" t="s">
        <v>2961</v>
      </c>
      <c r="V176">
        <v>974</v>
      </c>
    </row>
    <row r="177" spans="21:22" ht="14.4">
      <c r="U177" s="6" t="s">
        <v>2962</v>
      </c>
      <c r="V177">
        <v>262</v>
      </c>
    </row>
    <row r="178" spans="21:22" ht="14.4">
      <c r="U178" s="6" t="s">
        <v>2963</v>
      </c>
      <c r="V178">
        <v>40</v>
      </c>
    </row>
    <row r="179" spans="21:22" ht="14.4">
      <c r="U179" t="s">
        <v>2964</v>
      </c>
      <c r="V179">
        <v>7</v>
      </c>
    </row>
    <row r="180" spans="21:22" ht="14.4">
      <c r="U180" s="6" t="s">
        <v>2965</v>
      </c>
      <c r="V180">
        <v>250</v>
      </c>
    </row>
    <row r="181" spans="21:22" ht="14.4">
      <c r="U181" s="6" t="s">
        <v>2966</v>
      </c>
      <c r="V181">
        <v>590</v>
      </c>
    </row>
    <row r="182" spans="21:22" ht="14.4">
      <c r="U182" s="6" t="s">
        <v>2967</v>
      </c>
      <c r="V182">
        <v>290</v>
      </c>
    </row>
    <row r="183" spans="21:22" ht="14.4">
      <c r="U183" s="6" t="s">
        <v>2968</v>
      </c>
      <c r="V183" t="s">
        <v>2969</v>
      </c>
    </row>
    <row r="184" spans="21:22" ht="14.4">
      <c r="U184" s="6" t="s">
        <v>2970</v>
      </c>
      <c r="V184" t="s">
        <v>2971</v>
      </c>
    </row>
    <row r="185" spans="21:22" ht="14.4">
      <c r="U185" t="s">
        <v>2972</v>
      </c>
      <c r="V185">
        <v>590</v>
      </c>
    </row>
    <row r="186" spans="21:22" ht="14.4">
      <c r="U186" s="6" t="s">
        <v>2973</v>
      </c>
      <c r="V186">
        <v>508</v>
      </c>
    </row>
    <row r="187" spans="21:22" ht="14.4">
      <c r="U187" s="6" t="s">
        <v>2974</v>
      </c>
      <c r="V187" t="s">
        <v>2975</v>
      </c>
    </row>
    <row r="188" spans="21:22" ht="14.4">
      <c r="U188" s="6" t="s">
        <v>2976</v>
      </c>
      <c r="V188">
        <v>685</v>
      </c>
    </row>
    <row r="189" spans="21:22" ht="14.4">
      <c r="U189" s="6" t="s">
        <v>2977</v>
      </c>
      <c r="V189">
        <v>378</v>
      </c>
    </row>
    <row r="190" spans="21:22" ht="14.4">
      <c r="U190" s="6" t="s">
        <v>2978</v>
      </c>
      <c r="V190">
        <v>239</v>
      </c>
    </row>
    <row r="191" spans="21:22" ht="14.4">
      <c r="U191" s="6" t="s">
        <v>2979</v>
      </c>
      <c r="V191" s="18">
        <v>1481</v>
      </c>
    </row>
    <row r="192" spans="21:22" ht="14.4">
      <c r="U192" s="6" t="s">
        <v>2980</v>
      </c>
      <c r="V192">
        <v>966</v>
      </c>
    </row>
    <row r="193" spans="21:22" ht="14.4">
      <c r="U193" s="6" t="s">
        <v>2981</v>
      </c>
      <c r="V193">
        <v>221</v>
      </c>
    </row>
    <row r="194" spans="21:22" ht="14.4">
      <c r="U194" s="6" t="s">
        <v>2982</v>
      </c>
      <c r="V194">
        <v>381</v>
      </c>
    </row>
    <row r="195" spans="21:22" ht="14.4">
      <c r="U195" s="6" t="s">
        <v>2983</v>
      </c>
      <c r="V195">
        <v>248</v>
      </c>
    </row>
    <row r="196" spans="21:22" ht="14.4">
      <c r="U196" s="6" t="s">
        <v>2984</v>
      </c>
      <c r="V196">
        <v>232</v>
      </c>
    </row>
    <row r="197" spans="21:22" ht="14.4">
      <c r="U197" s="6" t="s">
        <v>2615</v>
      </c>
      <c r="V197">
        <v>65</v>
      </c>
    </row>
    <row r="198" spans="21:22" ht="14.4">
      <c r="U198" s="6" t="s">
        <v>2985</v>
      </c>
      <c r="V198">
        <v>421</v>
      </c>
    </row>
    <row r="199" spans="21:22" ht="14.4">
      <c r="U199" s="6" t="s">
        <v>2986</v>
      </c>
      <c r="V199">
        <v>386</v>
      </c>
    </row>
    <row r="200" spans="21:22" ht="14.4">
      <c r="U200" s="6" t="s">
        <v>2987</v>
      </c>
      <c r="V200">
        <v>677</v>
      </c>
    </row>
    <row r="201" spans="21:22" ht="14.4">
      <c r="U201" s="6" t="s">
        <v>2988</v>
      </c>
      <c r="V201">
        <v>252</v>
      </c>
    </row>
    <row r="202" spans="21:22" ht="14.4">
      <c r="U202" s="6" t="s">
        <v>2293</v>
      </c>
      <c r="V202">
        <v>27</v>
      </c>
    </row>
    <row r="203" spans="21:22" ht="14.4">
      <c r="U203" s="6" t="s">
        <v>2989</v>
      </c>
      <c r="V203">
        <v>500</v>
      </c>
    </row>
    <row r="204" spans="21:22" ht="14.4">
      <c r="U204" t="s">
        <v>2990</v>
      </c>
      <c r="V204">
        <v>82</v>
      </c>
    </row>
    <row r="205" spans="21:22" ht="14.4">
      <c r="U205" s="6" t="s">
        <v>2991</v>
      </c>
      <c r="V205">
        <v>34</v>
      </c>
    </row>
    <row r="206" spans="21:22" ht="14.4">
      <c r="U206" s="6" t="s">
        <v>2992</v>
      </c>
      <c r="V206">
        <v>94</v>
      </c>
    </row>
    <row r="207" spans="21:22" ht="14.4">
      <c r="U207" s="6" t="s">
        <v>2993</v>
      </c>
      <c r="V207">
        <v>249</v>
      </c>
    </row>
    <row r="208" spans="21:22" ht="14.4">
      <c r="U208" s="6" t="s">
        <v>2994</v>
      </c>
      <c r="V208">
        <v>597</v>
      </c>
    </row>
    <row r="209" spans="21:22" ht="14.4">
      <c r="U209" s="6" t="s">
        <v>2995</v>
      </c>
      <c r="V209">
        <v>47</v>
      </c>
    </row>
    <row r="210" spans="21:22" ht="14.4">
      <c r="U210" s="6" t="s">
        <v>2996</v>
      </c>
      <c r="V210">
        <v>268</v>
      </c>
    </row>
    <row r="211" spans="21:22" ht="14.4">
      <c r="U211" s="6" t="s">
        <v>2635</v>
      </c>
      <c r="V211">
        <v>46</v>
      </c>
    </row>
    <row r="212" spans="21:22" ht="14.4">
      <c r="U212" s="6" t="s">
        <v>2642</v>
      </c>
      <c r="V212">
        <v>41</v>
      </c>
    </row>
    <row r="213" spans="21:22" ht="14.4">
      <c r="U213" t="s">
        <v>2997</v>
      </c>
      <c r="V213">
        <v>963</v>
      </c>
    </row>
    <row r="214" spans="21:22" ht="14.4">
      <c r="U214" s="6" t="s">
        <v>2998</v>
      </c>
      <c r="V214">
        <v>886</v>
      </c>
    </row>
    <row r="215" spans="21:22" ht="14.4">
      <c r="U215" s="6" t="s">
        <v>2999</v>
      </c>
      <c r="V215">
        <v>992</v>
      </c>
    </row>
    <row r="216" spans="21:22" ht="14.4">
      <c r="U216" t="s">
        <v>3000</v>
      </c>
      <c r="V216">
        <v>255</v>
      </c>
    </row>
    <row r="217" spans="21:22" ht="14.4">
      <c r="U217" s="6" t="s">
        <v>3001</v>
      </c>
      <c r="V217">
        <v>66</v>
      </c>
    </row>
    <row r="218" spans="21:22" ht="14.4">
      <c r="U218" s="6" t="s">
        <v>3002</v>
      </c>
      <c r="V218">
        <v>670</v>
      </c>
    </row>
    <row r="219" spans="21:22" ht="14.4">
      <c r="U219" s="6" t="s">
        <v>3003</v>
      </c>
      <c r="V219">
        <v>228</v>
      </c>
    </row>
    <row r="220" spans="21:22" ht="14.4">
      <c r="U220" s="6" t="s">
        <v>3004</v>
      </c>
      <c r="V220">
        <v>690</v>
      </c>
    </row>
    <row r="221" spans="21:22" ht="14.4">
      <c r="U221" s="6" t="s">
        <v>3005</v>
      </c>
      <c r="V221">
        <v>676</v>
      </c>
    </row>
    <row r="222" spans="21:22" ht="14.4">
      <c r="U222" s="6" t="s">
        <v>3006</v>
      </c>
      <c r="V222" t="s">
        <v>3007</v>
      </c>
    </row>
    <row r="223" spans="21:22" ht="14.4">
      <c r="U223" s="6" t="s">
        <v>3008</v>
      </c>
      <c r="V223">
        <v>216</v>
      </c>
    </row>
    <row r="224" spans="21:22" ht="14.4">
      <c r="U224" s="6" t="s">
        <v>3009</v>
      </c>
      <c r="V224">
        <v>90</v>
      </c>
    </row>
    <row r="225" spans="21:22" ht="14.4">
      <c r="U225" s="6" t="s">
        <v>3010</v>
      </c>
      <c r="V225">
        <v>993</v>
      </c>
    </row>
    <row r="226" spans="21:22" ht="14.4">
      <c r="U226" s="6" t="s">
        <v>3011</v>
      </c>
      <c r="V226" t="s">
        <v>3012</v>
      </c>
    </row>
    <row r="227" spans="21:22" ht="14.4">
      <c r="U227" s="6" t="s">
        <v>3013</v>
      </c>
      <c r="V227">
        <v>688</v>
      </c>
    </row>
    <row r="228" spans="21:22" ht="14.4">
      <c r="U228" s="6" t="s">
        <v>3014</v>
      </c>
      <c r="V228">
        <v>256</v>
      </c>
    </row>
    <row r="229" spans="21:22" ht="14.4">
      <c r="U229" s="6" t="s">
        <v>3015</v>
      </c>
      <c r="V229">
        <v>380</v>
      </c>
    </row>
    <row r="230" spans="21:22" ht="14.4">
      <c r="U230" s="6" t="s">
        <v>3016</v>
      </c>
      <c r="V230">
        <v>971</v>
      </c>
    </row>
    <row r="231" spans="21:22" ht="14.4">
      <c r="U231" s="6" t="s">
        <v>2650</v>
      </c>
      <c r="V231">
        <v>44</v>
      </c>
    </row>
    <row r="232" spans="21:22" ht="14.4">
      <c r="U232" s="6" t="s">
        <v>2657</v>
      </c>
      <c r="V232">
        <v>1</v>
      </c>
    </row>
    <row r="233" spans="21:22" ht="14.4">
      <c r="U233" s="6" t="s">
        <v>3017</v>
      </c>
      <c r="V233">
        <v>246</v>
      </c>
    </row>
    <row r="234" spans="21:22" ht="14.4">
      <c r="U234" s="6" t="s">
        <v>3018</v>
      </c>
      <c r="V234">
        <v>598</v>
      </c>
    </row>
    <row r="235" spans="21:22" ht="14.4">
      <c r="U235" s="6" t="s">
        <v>3019</v>
      </c>
      <c r="V235">
        <v>998</v>
      </c>
    </row>
    <row r="236" spans="21:22" ht="14.4">
      <c r="U236" s="6" t="s">
        <v>3020</v>
      </c>
      <c r="V236">
        <v>678</v>
      </c>
    </row>
    <row r="237" spans="21:22" ht="14.4">
      <c r="U237" t="s">
        <v>3021</v>
      </c>
      <c r="V237">
        <v>379</v>
      </c>
    </row>
    <row r="238" spans="21:22" ht="14.4">
      <c r="U238" s="6" t="s">
        <v>3022</v>
      </c>
      <c r="V238">
        <v>58</v>
      </c>
    </row>
    <row r="239" spans="21:22" ht="14.4">
      <c r="U239" s="6" t="s">
        <v>3023</v>
      </c>
      <c r="V239">
        <v>84</v>
      </c>
    </row>
    <row r="240" spans="21:22" ht="14.4">
      <c r="U240" s="6" t="s">
        <v>3024</v>
      </c>
      <c r="V240" t="s">
        <v>3025</v>
      </c>
    </row>
    <row r="241" spans="19:22" ht="14.4">
      <c r="U241" s="6" t="s">
        <v>3026</v>
      </c>
      <c r="V241" t="s">
        <v>3027</v>
      </c>
    </row>
    <row r="242" spans="19:22" ht="14.4">
      <c r="U242" s="6" t="s">
        <v>3028</v>
      </c>
      <c r="V242">
        <v>681</v>
      </c>
    </row>
    <row r="243" spans="19:22" ht="14.4">
      <c r="U243" s="6" t="s">
        <v>3029</v>
      </c>
      <c r="V243">
        <v>212</v>
      </c>
    </row>
    <row r="244" spans="19:22" ht="14.4">
      <c r="U244" s="6" t="s">
        <v>3030</v>
      </c>
      <c r="V244">
        <v>967</v>
      </c>
    </row>
    <row r="245" spans="19:22" ht="14.4">
      <c r="U245" s="6" t="s">
        <v>3031</v>
      </c>
      <c r="V245">
        <v>260</v>
      </c>
    </row>
    <row r="246" spans="19:22" ht="14.4">
      <c r="U246" s="6" t="s">
        <v>3032</v>
      </c>
      <c r="V246">
        <v>263</v>
      </c>
    </row>
    <row r="247" spans="19:22">
      <c r="U247" s="6"/>
      <c r="V247" s="6"/>
    </row>
    <row r="248" spans="19:22">
      <c r="U248" s="6"/>
      <c r="V248" s="6"/>
    </row>
    <row r="249" spans="19:22">
      <c r="U249" s="6"/>
      <c r="V249" s="6"/>
    </row>
    <row r="250" spans="19:22">
      <c r="S250" s="269" t="s">
        <v>3033</v>
      </c>
      <c r="V250" s="6"/>
    </row>
    <row r="251" spans="19:22">
      <c r="S251" s="6" t="str">
        <f>LanguagesA!L254</f>
        <v>Wählen Sie ein Land…</v>
      </c>
      <c r="V251" s="6"/>
    </row>
    <row r="252" spans="19:22">
      <c r="S252" s="6" t="s">
        <v>2390</v>
      </c>
      <c r="V252" s="6"/>
    </row>
    <row r="253" spans="19:22">
      <c r="S253" s="6" t="s">
        <v>2405</v>
      </c>
      <c r="V253" s="6"/>
    </row>
    <row r="254" spans="19:22">
      <c r="S254" s="6" t="s">
        <v>2425</v>
      </c>
      <c r="V254" s="6"/>
    </row>
    <row r="255" spans="19:22">
      <c r="S255" s="6" t="s">
        <v>2442</v>
      </c>
    </row>
    <row r="256" spans="19:22">
      <c r="S256" s="6" t="s">
        <v>2457</v>
      </c>
    </row>
    <row r="257" spans="19:19">
      <c r="S257" s="6" t="s">
        <v>2468</v>
      </c>
    </row>
    <row r="258" spans="19:19">
      <c r="S258" s="6" t="s">
        <v>2478</v>
      </c>
    </row>
    <row r="259" spans="19:19">
      <c r="S259" s="6" t="s">
        <v>2488</v>
      </c>
    </row>
    <row r="260" spans="19:19">
      <c r="S260" s="6" t="s">
        <v>2499</v>
      </c>
    </row>
    <row r="261" spans="19:19">
      <c r="S261" s="6" t="s">
        <v>2509</v>
      </c>
    </row>
    <row r="262" spans="19:19">
      <c r="S262" s="6" t="s">
        <v>2521</v>
      </c>
    </row>
    <row r="263" spans="19:19">
      <c r="S263" s="6" t="s">
        <v>2532</v>
      </c>
    </row>
    <row r="264" spans="19:19">
      <c r="S264" s="6" t="s">
        <v>2544</v>
      </c>
    </row>
    <row r="265" spans="19:19">
      <c r="S265" s="6" t="s">
        <v>2385</v>
      </c>
    </row>
    <row r="266" spans="19:19">
      <c r="S266" s="6" t="s">
        <v>2178</v>
      </c>
    </row>
    <row r="267" spans="19:19">
      <c r="S267" s="6" t="s">
        <v>2576</v>
      </c>
    </row>
    <row r="268" spans="19:19">
      <c r="S268" s="6" t="s">
        <v>2586</v>
      </c>
    </row>
    <row r="269" spans="19:19">
      <c r="S269" s="6" t="s">
        <v>2597</v>
      </c>
    </row>
    <row r="270" spans="19:19">
      <c r="S270" s="6" t="s">
        <v>2606</v>
      </c>
    </row>
    <row r="271" spans="19:19">
      <c r="S271" s="6" t="s">
        <v>2616</v>
      </c>
    </row>
    <row r="272" spans="19:19">
      <c r="S272" s="6" t="s">
        <v>2626</v>
      </c>
    </row>
    <row r="273" spans="19:19">
      <c r="S273" s="6" t="s">
        <v>2636</v>
      </c>
    </row>
    <row r="274" spans="19:19">
      <c r="S274" s="6" t="s">
        <v>2643</v>
      </c>
    </row>
    <row r="275" spans="19:19">
      <c r="S275" s="6" t="s">
        <v>2651</v>
      </c>
    </row>
    <row r="276" spans="19:19">
      <c r="S276" s="6" t="s">
        <v>2658</v>
      </c>
    </row>
    <row r="277" spans="19:19">
      <c r="S277" s="6" t="s">
        <v>2665</v>
      </c>
    </row>
    <row r="278" spans="19:19">
      <c r="S278" s="6" t="s">
        <v>2671</v>
      </c>
    </row>
    <row r="279" spans="19:19">
      <c r="S279" s="6" t="s">
        <v>2676</v>
      </c>
    </row>
    <row r="280" spans="19:19">
      <c r="S280" s="6" t="s">
        <v>2681</v>
      </c>
    </row>
    <row r="281" spans="19:19">
      <c r="S281" s="6" t="s">
        <v>2686</v>
      </c>
    </row>
    <row r="282" spans="19:19">
      <c r="S282" s="6" t="s">
        <v>2691</v>
      </c>
    </row>
    <row r="283" spans="19:19">
      <c r="S283" s="6" t="s">
        <v>2696</v>
      </c>
    </row>
    <row r="284" spans="19:19">
      <c r="S284" s="16" t="s">
        <v>2701</v>
      </c>
    </row>
    <row r="285" spans="19:19">
      <c r="S285" s="6" t="s">
        <v>2706</v>
      </c>
    </row>
    <row r="286" spans="19:19">
      <c r="S286" s="6" t="s">
        <v>2711</v>
      </c>
    </row>
    <row r="287" spans="19:19">
      <c r="S287" s="6" t="s">
        <v>2714</v>
      </c>
    </row>
    <row r="288" spans="19:19">
      <c r="S288" s="6" t="s">
        <v>2718</v>
      </c>
    </row>
    <row r="289" spans="19:19">
      <c r="S289" s="6" t="s">
        <v>2721</v>
      </c>
    </row>
    <row r="290" spans="19:19">
      <c r="S290" s="6" t="s">
        <v>2424</v>
      </c>
    </row>
    <row r="291" spans="19:19">
      <c r="S291" s="6" t="s">
        <v>2728</v>
      </c>
    </row>
    <row r="292" spans="19:19">
      <c r="S292" s="6" t="s">
        <v>2732</v>
      </c>
    </row>
    <row r="293" spans="19:19">
      <c r="S293" s="6" t="s">
        <v>2737</v>
      </c>
    </row>
    <row r="294" spans="19:19">
      <c r="S294" s="6" t="s">
        <v>2741</v>
      </c>
    </row>
    <row r="295" spans="19:19">
      <c r="S295" s="6" t="s">
        <v>2744</v>
      </c>
    </row>
    <row r="296" spans="19:19">
      <c r="S296" s="6" t="s">
        <v>2441</v>
      </c>
    </row>
    <row r="297" spans="19:19">
      <c r="S297" s="6" t="s">
        <v>2751</v>
      </c>
    </row>
    <row r="298" spans="19:19">
      <c r="S298" s="16" t="s">
        <v>2758</v>
      </c>
    </row>
    <row r="299" spans="19:19">
      <c r="S299" s="6" t="s">
        <v>2763</v>
      </c>
    </row>
    <row r="300" spans="19:19">
      <c r="S300" s="6" t="s">
        <v>2769</v>
      </c>
    </row>
    <row r="301" spans="19:19">
      <c r="S301" s="6" t="s">
        <v>2775</v>
      </c>
    </row>
    <row r="302" spans="19:19">
      <c r="S302" s="6" t="s">
        <v>2779</v>
      </c>
    </row>
    <row r="303" spans="19:19">
      <c r="S303" s="6" t="s">
        <v>2784</v>
      </c>
    </row>
    <row r="304" spans="19:19">
      <c r="S304" s="6" t="s">
        <v>2788</v>
      </c>
    </row>
    <row r="305" spans="19:19">
      <c r="S305" s="6" t="s">
        <v>2791</v>
      </c>
    </row>
    <row r="306" spans="19:19">
      <c r="S306" s="6" t="s">
        <v>2793</v>
      </c>
    </row>
    <row r="307" spans="19:19">
      <c r="S307" s="6" t="s">
        <v>2796</v>
      </c>
    </row>
    <row r="308" spans="19:19">
      <c r="S308" s="6" t="s">
        <v>2799</v>
      </c>
    </row>
    <row r="309" spans="19:19">
      <c r="S309" s="6" t="s">
        <v>2802</v>
      </c>
    </row>
    <row r="310" spans="19:19">
      <c r="S310" s="6" t="s">
        <v>2805</v>
      </c>
    </row>
    <row r="311" spans="19:19">
      <c r="S311" s="6" t="s">
        <v>2809</v>
      </c>
    </row>
    <row r="312" spans="19:19">
      <c r="S312" s="6" t="s">
        <v>2812</v>
      </c>
    </row>
    <row r="313" spans="19:19">
      <c r="S313" s="6" t="s">
        <v>2814</v>
      </c>
    </row>
    <row r="314" spans="19:19">
      <c r="S314" s="6" t="s">
        <v>2816</v>
      </c>
    </row>
    <row r="315" spans="19:19">
      <c r="S315" s="6" t="s">
        <v>2818</v>
      </c>
    </row>
    <row r="316" spans="19:19">
      <c r="S316" s="6" t="s">
        <v>2820</v>
      </c>
    </row>
    <row r="317" spans="19:19">
      <c r="S317" s="6" t="s">
        <v>2822</v>
      </c>
    </row>
    <row r="318" spans="19:19">
      <c r="S318" s="6" t="s">
        <v>2824</v>
      </c>
    </row>
    <row r="319" spans="19:19">
      <c r="S319" s="6" t="s">
        <v>2826</v>
      </c>
    </row>
    <row r="320" spans="19:19">
      <c r="S320" s="6" t="s">
        <v>2828</v>
      </c>
    </row>
    <row r="321" spans="19:19">
      <c r="S321" s="6" t="s">
        <v>2830</v>
      </c>
    </row>
    <row r="322" spans="19:19">
      <c r="S322" s="6" t="s">
        <v>2832</v>
      </c>
    </row>
    <row r="323" spans="19:19">
      <c r="S323" s="6" t="s">
        <v>2467</v>
      </c>
    </row>
    <row r="324" spans="19:19">
      <c r="S324" s="6" t="s">
        <v>2836</v>
      </c>
    </row>
    <row r="325" spans="19:19">
      <c r="S325" s="6" t="s">
        <v>2838</v>
      </c>
    </row>
    <row r="326" spans="19:19">
      <c r="S326" s="6" t="s">
        <v>2840</v>
      </c>
    </row>
    <row r="327" spans="19:19">
      <c r="S327" s="6" t="s">
        <v>2842</v>
      </c>
    </row>
    <row r="328" spans="19:19">
      <c r="S328" s="6" t="s">
        <v>2844</v>
      </c>
    </row>
    <row r="329" spans="19:19">
      <c r="S329" s="6" t="s">
        <v>2846</v>
      </c>
    </row>
    <row r="330" spans="19:19">
      <c r="S330" s="6" t="s">
        <v>2477</v>
      </c>
    </row>
    <row r="331" spans="19:19">
      <c r="S331" s="6" t="s">
        <v>2849</v>
      </c>
    </row>
    <row r="332" spans="19:19">
      <c r="S332" s="6" t="s">
        <v>2851</v>
      </c>
    </row>
    <row r="333" spans="19:19">
      <c r="S333" s="6" t="s">
        <v>2853</v>
      </c>
    </row>
    <row r="334" spans="19:19">
      <c r="S334" s="6" t="s">
        <v>2855</v>
      </c>
    </row>
    <row r="335" spans="19:19">
      <c r="S335" s="6" t="s">
        <v>2857</v>
      </c>
    </row>
    <row r="336" spans="19:19">
      <c r="S336" s="6" t="s">
        <v>2860</v>
      </c>
    </row>
    <row r="337" spans="19:19">
      <c r="S337" s="6" t="s">
        <v>2862</v>
      </c>
    </row>
    <row r="338" spans="19:19">
      <c r="S338" s="6" t="s">
        <v>2865</v>
      </c>
    </row>
    <row r="339" spans="19:19" ht="14.4">
      <c r="S339" t="s">
        <v>2867</v>
      </c>
    </row>
    <row r="340" spans="19:19">
      <c r="S340" s="6" t="s">
        <v>2870</v>
      </c>
    </row>
    <row r="341" spans="19:19">
      <c r="S341" s="6" t="s">
        <v>2872</v>
      </c>
    </row>
    <row r="342" spans="19:19">
      <c r="S342" s="6" t="s">
        <v>2874</v>
      </c>
    </row>
    <row r="343" spans="19:19">
      <c r="S343" s="6" t="s">
        <v>2876</v>
      </c>
    </row>
    <row r="344" spans="19:19">
      <c r="S344" s="6" t="s">
        <v>2878</v>
      </c>
    </row>
    <row r="345" spans="19:19">
      <c r="S345" s="6" t="s">
        <v>2881</v>
      </c>
    </row>
    <row r="346" spans="19:19">
      <c r="S346" s="6" t="s">
        <v>2487</v>
      </c>
    </row>
    <row r="347" spans="19:19">
      <c r="S347" s="6" t="s">
        <v>2883</v>
      </c>
    </row>
    <row r="348" spans="19:19">
      <c r="S348" s="6" t="s">
        <v>2884</v>
      </c>
    </row>
    <row r="349" spans="19:19">
      <c r="S349" s="6" t="s">
        <v>2498</v>
      </c>
    </row>
    <row r="350" spans="19:19">
      <c r="S350" s="6" t="s">
        <v>2885</v>
      </c>
    </row>
    <row r="351" spans="19:19">
      <c r="S351" s="6" t="s">
        <v>2886</v>
      </c>
    </row>
    <row r="352" spans="19:19">
      <c r="S352" s="6" t="s">
        <v>2508</v>
      </c>
    </row>
    <row r="353" spans="19:19">
      <c r="S353" s="6" t="s">
        <v>2887</v>
      </c>
    </row>
    <row r="354" spans="19:19">
      <c r="S354" s="6" t="s">
        <v>2889</v>
      </c>
    </row>
    <row r="355" spans="19:19">
      <c r="S355" s="6" t="s">
        <v>2890</v>
      </c>
    </row>
    <row r="356" spans="19:19">
      <c r="S356" s="6" t="s">
        <v>2891</v>
      </c>
    </row>
    <row r="357" spans="19:19">
      <c r="S357" s="6" t="s">
        <v>2520</v>
      </c>
    </row>
    <row r="358" spans="19:19">
      <c r="S358" s="6" t="s">
        <v>2893</v>
      </c>
    </row>
    <row r="359" spans="19:19">
      <c r="S359" s="6" t="s">
        <v>2895</v>
      </c>
    </row>
    <row r="360" spans="19:19">
      <c r="S360" s="6" t="s">
        <v>2896</v>
      </c>
    </row>
    <row r="361" spans="19:19">
      <c r="S361" s="6" t="s">
        <v>2897</v>
      </c>
    </row>
    <row r="362" spans="19:19">
      <c r="S362" s="6" t="s">
        <v>2898</v>
      </c>
    </row>
    <row r="363" spans="19:19">
      <c r="S363" s="6" t="s">
        <v>2899</v>
      </c>
    </row>
    <row r="364" spans="19:19">
      <c r="S364" s="6" t="s">
        <v>2900</v>
      </c>
    </row>
    <row r="365" spans="19:19">
      <c r="S365" s="6" t="s">
        <v>2901</v>
      </c>
    </row>
    <row r="366" spans="19:19" ht="14.4">
      <c r="S366" t="s">
        <v>2902</v>
      </c>
    </row>
    <row r="367" spans="19:19">
      <c r="S367" s="6" t="s">
        <v>2903</v>
      </c>
    </row>
    <row r="368" spans="19:19">
      <c r="S368" s="6" t="s">
        <v>2904</v>
      </c>
    </row>
    <row r="369" spans="19:19">
      <c r="S369" s="6" t="s">
        <v>2905</v>
      </c>
    </row>
    <row r="370" spans="19:19">
      <c r="S370" s="6" t="s">
        <v>2906</v>
      </c>
    </row>
    <row r="371" spans="19:19" ht="14.4">
      <c r="S371" t="s">
        <v>2907</v>
      </c>
    </row>
    <row r="372" spans="19:19">
      <c r="S372" s="6" t="s">
        <v>2908</v>
      </c>
    </row>
    <row r="373" spans="19:19">
      <c r="S373" s="6" t="s">
        <v>2909</v>
      </c>
    </row>
    <row r="374" spans="19:19">
      <c r="S374" s="6" t="s">
        <v>2910</v>
      </c>
    </row>
    <row r="375" spans="19:19" ht="14.4">
      <c r="S375" t="s">
        <v>2911</v>
      </c>
    </row>
    <row r="376" spans="19:19" ht="14.4">
      <c r="S376" t="s">
        <v>2912</v>
      </c>
    </row>
    <row r="377" spans="19:19">
      <c r="S377" s="6" t="s">
        <v>2913</v>
      </c>
    </row>
    <row r="378" spans="19:19">
      <c r="S378" s="6" t="s">
        <v>2914</v>
      </c>
    </row>
    <row r="379" spans="19:19">
      <c r="S379" s="6" t="s">
        <v>2565</v>
      </c>
    </row>
    <row r="380" spans="19:19">
      <c r="S380" s="6" t="s">
        <v>2915</v>
      </c>
    </row>
    <row r="381" spans="19:19">
      <c r="S381" s="6" t="s">
        <v>2916</v>
      </c>
    </row>
    <row r="382" spans="19:19">
      <c r="S382" s="6" t="s">
        <v>2917</v>
      </c>
    </row>
    <row r="383" spans="19:19" ht="14.4">
      <c r="S383" t="s">
        <v>2918</v>
      </c>
    </row>
    <row r="384" spans="19:19">
      <c r="S384" s="6" t="s">
        <v>2919</v>
      </c>
    </row>
    <row r="385" spans="19:19">
      <c r="S385" s="6" t="s">
        <v>2920</v>
      </c>
    </row>
    <row r="386" spans="19:19">
      <c r="S386" s="6" t="s">
        <v>2921</v>
      </c>
    </row>
    <row r="387" spans="19:19">
      <c r="S387" s="6" t="s">
        <v>2922</v>
      </c>
    </row>
    <row r="388" spans="19:19">
      <c r="S388" s="6" t="s">
        <v>2923</v>
      </c>
    </row>
    <row r="389" spans="19:19" ht="14.4">
      <c r="S389" t="s">
        <v>2924</v>
      </c>
    </row>
    <row r="390" spans="19:19" ht="14.4">
      <c r="S390" t="s">
        <v>2925</v>
      </c>
    </row>
    <row r="391" spans="19:19">
      <c r="S391" s="6" t="s">
        <v>2926</v>
      </c>
    </row>
    <row r="392" spans="19:19">
      <c r="S392" s="6" t="s">
        <v>2927</v>
      </c>
    </row>
    <row r="393" spans="19:19">
      <c r="S393" s="6" t="s">
        <v>2928</v>
      </c>
    </row>
    <row r="394" spans="19:19">
      <c r="S394" s="6" t="s">
        <v>2929</v>
      </c>
    </row>
    <row r="395" spans="19:19">
      <c r="S395" s="6" t="s">
        <v>2931</v>
      </c>
    </row>
    <row r="396" spans="19:19">
      <c r="S396" s="6" t="s">
        <v>2932</v>
      </c>
    </row>
    <row r="397" spans="19:19">
      <c r="S397" s="6" t="s">
        <v>2933</v>
      </c>
    </row>
    <row r="398" spans="19:19">
      <c r="S398" s="6" t="s">
        <v>2934</v>
      </c>
    </row>
    <row r="399" spans="19:19">
      <c r="S399" s="6" t="s">
        <v>2935</v>
      </c>
    </row>
    <row r="400" spans="19:19">
      <c r="S400" s="6" t="s">
        <v>2936</v>
      </c>
    </row>
    <row r="401" spans="19:19">
      <c r="S401" s="6" t="s">
        <v>2575</v>
      </c>
    </row>
    <row r="402" spans="19:19">
      <c r="S402" s="6" t="s">
        <v>2937</v>
      </c>
    </row>
    <row r="403" spans="19:19">
      <c r="S403" s="6" t="s">
        <v>2938</v>
      </c>
    </row>
    <row r="404" spans="19:19">
      <c r="S404" s="6" t="s">
        <v>2585</v>
      </c>
    </row>
    <row r="405" spans="19:19">
      <c r="S405" s="6" t="s">
        <v>2939</v>
      </c>
    </row>
    <row r="406" spans="19:19">
      <c r="S406" s="6" t="s">
        <v>2940</v>
      </c>
    </row>
    <row r="407" spans="19:19">
      <c r="S407" s="6" t="s">
        <v>2941</v>
      </c>
    </row>
    <row r="408" spans="19:19">
      <c r="S408" s="6" t="s">
        <v>2942</v>
      </c>
    </row>
    <row r="409" spans="19:19">
      <c r="S409" s="6" t="s">
        <v>2943</v>
      </c>
    </row>
    <row r="410" spans="19:19" ht="14.4">
      <c r="S410" t="s">
        <v>2944</v>
      </c>
    </row>
    <row r="411" spans="19:19">
      <c r="S411" s="6" t="s">
        <v>2945</v>
      </c>
    </row>
    <row r="412" spans="19:19">
      <c r="S412" s="6" t="s">
        <v>2947</v>
      </c>
    </row>
    <row r="413" spans="19:19">
      <c r="S413" s="6" t="s">
        <v>2948</v>
      </c>
    </row>
    <row r="414" spans="19:19">
      <c r="S414" s="6" t="s">
        <v>2949</v>
      </c>
    </row>
    <row r="415" spans="19:19">
      <c r="S415" s="6" t="s">
        <v>2950</v>
      </c>
    </row>
    <row r="416" spans="19:19" ht="14.4">
      <c r="S416" t="s">
        <v>2951</v>
      </c>
    </row>
    <row r="417" spans="19:19">
      <c r="S417" s="6" t="s">
        <v>2952</v>
      </c>
    </row>
    <row r="418" spans="19:19">
      <c r="S418" s="6" t="s">
        <v>2953</v>
      </c>
    </row>
    <row r="419" spans="19:19">
      <c r="S419" s="6" t="s">
        <v>2954</v>
      </c>
    </row>
    <row r="420" spans="19:19">
      <c r="S420" s="6" t="s">
        <v>2955</v>
      </c>
    </row>
    <row r="421" spans="19:19">
      <c r="S421" s="6" t="s">
        <v>2605</v>
      </c>
    </row>
    <row r="422" spans="19:19">
      <c r="S422" s="6" t="s">
        <v>2956</v>
      </c>
    </row>
    <row r="423" spans="19:19">
      <c r="S423" s="6" t="s">
        <v>2957</v>
      </c>
    </row>
    <row r="424" spans="19:19">
      <c r="S424" s="6" t="s">
        <v>2958</v>
      </c>
    </row>
    <row r="425" spans="19:19">
      <c r="S425" s="6" t="s">
        <v>2959</v>
      </c>
    </row>
    <row r="426" spans="19:19">
      <c r="S426" s="6" t="s">
        <v>2961</v>
      </c>
    </row>
    <row r="427" spans="19:19">
      <c r="S427" s="6" t="s">
        <v>2962</v>
      </c>
    </row>
    <row r="428" spans="19:19">
      <c r="S428" s="6" t="s">
        <v>2963</v>
      </c>
    </row>
    <row r="429" spans="19:19" ht="14.4">
      <c r="S429" t="s">
        <v>2964</v>
      </c>
    </row>
    <row r="430" spans="19:19">
      <c r="S430" s="6" t="s">
        <v>2965</v>
      </c>
    </row>
    <row r="431" spans="19:19">
      <c r="S431" s="6" t="s">
        <v>2966</v>
      </c>
    </row>
    <row r="432" spans="19:19">
      <c r="S432" s="6" t="s">
        <v>2967</v>
      </c>
    </row>
    <row r="433" spans="19:19">
      <c r="S433" s="6" t="s">
        <v>2968</v>
      </c>
    </row>
    <row r="434" spans="19:19">
      <c r="S434" s="6" t="s">
        <v>2970</v>
      </c>
    </row>
    <row r="435" spans="19:19" ht="14.4">
      <c r="S435" t="s">
        <v>2972</v>
      </c>
    </row>
    <row r="436" spans="19:19">
      <c r="S436" s="6" t="s">
        <v>2973</v>
      </c>
    </row>
    <row r="437" spans="19:19">
      <c r="S437" s="6" t="s">
        <v>2974</v>
      </c>
    </row>
    <row r="438" spans="19:19">
      <c r="S438" s="6" t="s">
        <v>2976</v>
      </c>
    </row>
    <row r="439" spans="19:19">
      <c r="S439" s="6" t="s">
        <v>2977</v>
      </c>
    </row>
    <row r="440" spans="19:19">
      <c r="S440" s="6" t="s">
        <v>2978</v>
      </c>
    </row>
    <row r="441" spans="19:19">
      <c r="S441" s="6" t="s">
        <v>2979</v>
      </c>
    </row>
    <row r="442" spans="19:19">
      <c r="S442" s="6" t="s">
        <v>2980</v>
      </c>
    </row>
    <row r="443" spans="19:19">
      <c r="S443" s="6" t="s">
        <v>2981</v>
      </c>
    </row>
    <row r="444" spans="19:19">
      <c r="S444" s="6" t="s">
        <v>2982</v>
      </c>
    </row>
    <row r="445" spans="19:19">
      <c r="S445" s="6" t="s">
        <v>2983</v>
      </c>
    </row>
    <row r="446" spans="19:19">
      <c r="S446" s="6" t="s">
        <v>2984</v>
      </c>
    </row>
    <row r="447" spans="19:19">
      <c r="S447" s="6" t="s">
        <v>2615</v>
      </c>
    </row>
    <row r="448" spans="19:19">
      <c r="S448" s="6" t="s">
        <v>2985</v>
      </c>
    </row>
    <row r="449" spans="19:19">
      <c r="S449" s="6" t="s">
        <v>2986</v>
      </c>
    </row>
    <row r="450" spans="19:19">
      <c r="S450" s="6" t="s">
        <v>2987</v>
      </c>
    </row>
    <row r="451" spans="19:19">
      <c r="S451" s="6" t="s">
        <v>2988</v>
      </c>
    </row>
    <row r="452" spans="19:19">
      <c r="S452" s="6" t="s">
        <v>2293</v>
      </c>
    </row>
    <row r="453" spans="19:19">
      <c r="S453" s="6" t="s">
        <v>2989</v>
      </c>
    </row>
    <row r="454" spans="19:19" ht="14.4">
      <c r="S454" t="s">
        <v>2990</v>
      </c>
    </row>
    <row r="455" spans="19:19">
      <c r="S455" s="6" t="s">
        <v>2991</v>
      </c>
    </row>
    <row r="456" spans="19:19">
      <c r="S456" s="6" t="s">
        <v>2992</v>
      </c>
    </row>
    <row r="457" spans="19:19">
      <c r="S457" s="6" t="s">
        <v>2993</v>
      </c>
    </row>
    <row r="458" spans="19:19">
      <c r="S458" s="6" t="s">
        <v>2994</v>
      </c>
    </row>
    <row r="459" spans="19:19">
      <c r="S459" s="6" t="s">
        <v>2995</v>
      </c>
    </row>
    <row r="460" spans="19:19">
      <c r="S460" s="6" t="s">
        <v>2996</v>
      </c>
    </row>
    <row r="461" spans="19:19">
      <c r="S461" s="6" t="s">
        <v>2635</v>
      </c>
    </row>
    <row r="462" spans="19:19">
      <c r="S462" s="6" t="s">
        <v>2642</v>
      </c>
    </row>
    <row r="463" spans="19:19" ht="14.4">
      <c r="S463" t="s">
        <v>2997</v>
      </c>
    </row>
    <row r="464" spans="19:19">
      <c r="S464" s="6" t="s">
        <v>2998</v>
      </c>
    </row>
    <row r="465" spans="19:19">
      <c r="S465" s="6" t="s">
        <v>2999</v>
      </c>
    </row>
    <row r="466" spans="19:19" ht="14.4">
      <c r="S466" t="s">
        <v>3000</v>
      </c>
    </row>
    <row r="467" spans="19:19">
      <c r="S467" s="6" t="s">
        <v>3001</v>
      </c>
    </row>
    <row r="468" spans="19:19">
      <c r="S468" s="6" t="s">
        <v>3002</v>
      </c>
    </row>
    <row r="469" spans="19:19">
      <c r="S469" s="6" t="s">
        <v>3003</v>
      </c>
    </row>
    <row r="470" spans="19:19">
      <c r="S470" s="6" t="s">
        <v>3004</v>
      </c>
    </row>
    <row r="471" spans="19:19">
      <c r="S471" s="6" t="s">
        <v>3005</v>
      </c>
    </row>
    <row r="472" spans="19:19">
      <c r="S472" s="6" t="s">
        <v>3006</v>
      </c>
    </row>
    <row r="473" spans="19:19">
      <c r="S473" s="6" t="s">
        <v>3008</v>
      </c>
    </row>
    <row r="474" spans="19:19">
      <c r="S474" s="6" t="s">
        <v>3009</v>
      </c>
    </row>
    <row r="475" spans="19:19">
      <c r="S475" s="6" t="s">
        <v>3010</v>
      </c>
    </row>
    <row r="476" spans="19:19">
      <c r="S476" s="6" t="s">
        <v>3011</v>
      </c>
    </row>
    <row r="477" spans="19:19">
      <c r="S477" s="6" t="s">
        <v>3013</v>
      </c>
    </row>
    <row r="478" spans="19:19">
      <c r="S478" s="6" t="s">
        <v>3014</v>
      </c>
    </row>
    <row r="479" spans="19:19">
      <c r="S479" s="6" t="s">
        <v>3015</v>
      </c>
    </row>
    <row r="480" spans="19:19">
      <c r="S480" s="6" t="s">
        <v>3016</v>
      </c>
    </row>
    <row r="481" spans="19:19">
      <c r="S481" s="6" t="s">
        <v>2650</v>
      </c>
    </row>
    <row r="482" spans="19:19">
      <c r="S482" s="6" t="s">
        <v>2657</v>
      </c>
    </row>
    <row r="483" spans="19:19">
      <c r="S483" s="6" t="s">
        <v>3017</v>
      </c>
    </row>
    <row r="484" spans="19:19">
      <c r="S484" s="6" t="s">
        <v>3018</v>
      </c>
    </row>
    <row r="485" spans="19:19">
      <c r="S485" s="6" t="s">
        <v>3019</v>
      </c>
    </row>
    <row r="486" spans="19:19">
      <c r="S486" s="6" t="s">
        <v>3020</v>
      </c>
    </row>
    <row r="487" spans="19:19" ht="14.4">
      <c r="S487" t="s">
        <v>3021</v>
      </c>
    </row>
    <row r="488" spans="19:19">
      <c r="S488" s="6" t="s">
        <v>3022</v>
      </c>
    </row>
    <row r="489" spans="19:19">
      <c r="S489" s="6" t="s">
        <v>3023</v>
      </c>
    </row>
    <row r="490" spans="19:19">
      <c r="S490" s="6" t="s">
        <v>3024</v>
      </c>
    </row>
    <row r="491" spans="19:19">
      <c r="S491" s="6" t="s">
        <v>3026</v>
      </c>
    </row>
    <row r="492" spans="19:19">
      <c r="S492" s="6" t="s">
        <v>3028</v>
      </c>
    </row>
    <row r="493" spans="19:19">
      <c r="S493" s="6" t="s">
        <v>3029</v>
      </c>
    </row>
    <row r="494" spans="19:19">
      <c r="S494" s="6" t="s">
        <v>3030</v>
      </c>
    </row>
    <row r="495" spans="19:19">
      <c r="S495" s="6" t="s">
        <v>3031</v>
      </c>
    </row>
    <row r="496" spans="19:19">
      <c r="S496" s="6" t="s">
        <v>3032</v>
      </c>
    </row>
  </sheetData>
  <sheetProtection algorithmName="SHA-512" hashValue="HnsGBdMtJ/OObSTjw7RODsc73DtjMuCXWT/trQA1g9NaZQQB/ModMY/33sj7yE2dnqRimipauofDeWYgUxiR3A==" saltValue="fOFJyW7zCY7wUT3QeXUy7A==" spinCount="100000" sheet="1" objects="1" scenarios="1"/>
  <sortState xmlns:xlrd2="http://schemas.microsoft.com/office/spreadsheetml/2017/richdata2" ref="AF4:AF63">
    <sortCondition sortBy="cellColor" ref="AF4:AF63" dxfId="218"/>
  </sortState>
  <mergeCells count="2">
    <mergeCell ref="AA1:AC1"/>
    <mergeCell ref="AF1:AI1"/>
  </mergeCells>
  <hyperlinks>
    <hyperlink ref="AP3" r:id="rId1" location="ICRow0');" display="javascript:doUpdateParent(document.win0,' - ICRow0');" xr:uid="{DA14D6BD-5ED6-40A2-9C54-62A5DCDFBBE5}"/>
  </hyperlinks>
  <pageMargins left="0.7" right="0.7" top="0.75" bottom="0.75" header="0.3" footer="0.3"/>
  <pageSetup orientation="portrait" r:id="rId2"/>
  <ignoredErrors>
    <ignoredError sqref="D54:D55 D56:D61 D68 D69:D75" unlockedFormula="1"/>
  </ignoredErrors>
  <tableParts count="1">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499C27-3FAD-49D0-8008-5CCF8BC0B985}">
  <sheetPr codeName="Sheet31"/>
  <dimension ref="A1:AL62"/>
  <sheetViews>
    <sheetView topLeftCell="L1" workbookViewId="0">
      <selection activeCell="Q1" sqref="Q1"/>
    </sheetView>
  </sheetViews>
  <sheetFormatPr baseColWidth="10" defaultColWidth="8.6640625" defaultRowHeight="14.4"/>
  <cols>
    <col min="2" max="2" width="38.5546875" bestFit="1" customWidth="1"/>
    <col min="3" max="3" width="2" bestFit="1" customWidth="1"/>
    <col min="4" max="4" width="39.44140625" bestFit="1" customWidth="1"/>
    <col min="5" max="5" width="7.88671875" bestFit="1" customWidth="1"/>
    <col min="6" max="6" width="27.109375" bestFit="1" customWidth="1"/>
    <col min="7" max="7" width="3.109375" customWidth="1"/>
    <col min="8" max="8" width="13.109375" bestFit="1" customWidth="1"/>
    <col min="9" max="9" width="24.109375" bestFit="1" customWidth="1"/>
    <col min="11" max="11" width="49.44140625" customWidth="1"/>
    <col min="12" max="12" width="15.44140625" bestFit="1" customWidth="1"/>
    <col min="13" max="13" width="31.109375" bestFit="1" customWidth="1"/>
    <col min="14" max="14" width="2" bestFit="1" customWidth="1"/>
    <col min="15" max="15" width="16.109375" bestFit="1" customWidth="1"/>
    <col min="16" max="16" width="2" bestFit="1" customWidth="1"/>
    <col min="17" max="17" width="17.109375" customWidth="1"/>
    <col min="18" max="18" width="4.44140625" style="5" customWidth="1"/>
    <col min="19" max="19" width="16.44140625" bestFit="1" customWidth="1"/>
    <col min="20" max="20" width="4.5546875" customWidth="1"/>
    <col min="21" max="21" width="36.88671875" bestFit="1" customWidth="1"/>
    <col min="22" max="22" width="4.44140625" style="5" customWidth="1"/>
    <col min="23" max="23" width="5.88671875" bestFit="1" customWidth="1"/>
    <col min="24" max="24" width="36.88671875" bestFit="1" customWidth="1"/>
    <col min="25" max="25" width="4.44140625" style="5" customWidth="1"/>
    <col min="26" max="26" width="5.88671875" bestFit="1" customWidth="1"/>
    <col min="27" max="27" width="36.88671875" bestFit="1" customWidth="1"/>
    <col min="28" max="28" width="4.44140625" style="5" customWidth="1"/>
    <col min="29" max="29" width="5.88671875" bestFit="1" customWidth="1"/>
    <col min="30" max="30" width="36.88671875" bestFit="1" customWidth="1"/>
    <col min="31" max="31" width="4.44140625" style="5" customWidth="1"/>
    <col min="32" max="32" width="5.88671875" bestFit="1" customWidth="1"/>
    <col min="33" max="33" width="5.6640625" customWidth="1"/>
    <col min="34" max="34" width="30.88671875" bestFit="1" customWidth="1"/>
    <col min="35" max="35" width="8.6640625" style="5"/>
    <col min="37" max="37" width="24.88671875" bestFit="1" customWidth="1"/>
    <col min="38" max="38" width="7.33203125" style="5" customWidth="1"/>
  </cols>
  <sheetData>
    <row r="1" spans="1:38">
      <c r="A1" s="4" t="s">
        <v>3034</v>
      </c>
      <c r="B1" s="4" t="s">
        <v>3035</v>
      </c>
      <c r="D1" s="19" t="s">
        <v>3036</v>
      </c>
      <c r="E1" s="20">
        <f>SUM(E2:E29)</f>
        <v>0</v>
      </c>
      <c r="F1" s="19" t="s">
        <v>3037</v>
      </c>
      <c r="G1" s="24">
        <f>SUM(G2:G6)</f>
        <v>0</v>
      </c>
      <c r="H1" s="4" t="s">
        <v>3038</v>
      </c>
      <c r="I1" s="19" t="s">
        <v>3039</v>
      </c>
      <c r="J1" s="24">
        <f>SUM(J2:J9)</f>
        <v>0</v>
      </c>
      <c r="K1" s="4" t="s">
        <v>3040</v>
      </c>
      <c r="L1" s="4" t="s">
        <v>3041</v>
      </c>
      <c r="M1" t="str">
        <f>IF(N1=1,CONCATENATE(M2,M3,M4,M5,M6,M7,M8,M9),"currencylistfull")</f>
        <v>currencylistfull</v>
      </c>
      <c r="N1">
        <f>SUM(N2:N10)</f>
        <v>0</v>
      </c>
      <c r="O1" s="4" t="s">
        <v>3042</v>
      </c>
      <c r="Q1" s="31" t="s">
        <v>3043</v>
      </c>
      <c r="R1" s="5">
        <f>SUM(R2:R12)</f>
        <v>0</v>
      </c>
      <c r="S1" s="4" t="s">
        <v>3044</v>
      </c>
      <c r="T1" s="5">
        <f>SUM(T2:T12)</f>
        <v>1</v>
      </c>
      <c r="U1" s="31" t="s">
        <v>3045</v>
      </c>
      <c r="V1" s="36">
        <f>SUM(V2:V100)</f>
        <v>1</v>
      </c>
      <c r="W1" s="37">
        <f>SUM(W2:W100)</f>
        <v>1</v>
      </c>
      <c r="X1" s="31" t="s">
        <v>3046</v>
      </c>
      <c r="Y1" s="36">
        <f>SUM(Y2:Y100)</f>
        <v>1</v>
      </c>
      <c r="Z1" s="37">
        <f>SUM(Z2:Z100)</f>
        <v>1</v>
      </c>
      <c r="AA1" s="31" t="s">
        <v>3047</v>
      </c>
      <c r="AB1" s="36">
        <f>SUM(AB2:AB100)</f>
        <v>1</v>
      </c>
      <c r="AC1" s="37">
        <f>SUM(AC2:AC100)</f>
        <v>1</v>
      </c>
      <c r="AD1" s="31" t="s">
        <v>3048</v>
      </c>
      <c r="AE1" s="36">
        <f>SUM(AE2:AE100)</f>
        <v>1</v>
      </c>
      <c r="AF1" s="37">
        <f>SUM(AF2:AF100)</f>
        <v>1</v>
      </c>
      <c r="AH1" t="s">
        <v>287</v>
      </c>
      <c r="AI1" s="5">
        <f>AI2+AI3+AI4+AI5+AI6+AI7+AI8+AI9</f>
        <v>0</v>
      </c>
      <c r="AK1" s="7" t="s">
        <v>3049</v>
      </c>
      <c r="AL1" s="5">
        <f>AL2+AL4</f>
        <v>0</v>
      </c>
    </row>
    <row r="2" spans="1:38">
      <c r="B2" s="6" t="str">
        <f>_xlfn.CONCAT(B3,B4,B5)</f>
        <v/>
      </c>
      <c r="D2" s="50" t="s">
        <v>2385</v>
      </c>
      <c r="E2" s="20">
        <f>IF(ledger1=Conditions!D2,1,0)</f>
        <v>0</v>
      </c>
      <c r="F2" s="21" t="s">
        <v>2531</v>
      </c>
      <c r="G2" s="20">
        <f>IF(ledger1=Conditions!F2,1,0)</f>
        <v>0</v>
      </c>
      <c r="H2">
        <f>IF(OR(reqtype="Reactivate an Inactive Supplier/Payee Site",reqtype="Change/Update Supplier/Payee Details"),1,0)</f>
        <v>0</v>
      </c>
      <c r="I2" s="23" t="s">
        <v>2441</v>
      </c>
      <c r="J2" s="20">
        <f>IF(ledger1=Conditions!I2,1,0)</f>
        <v>0</v>
      </c>
      <c r="K2" t="str">
        <f>CONCATENATE(K3,K4,K5)</f>
        <v/>
      </c>
      <c r="L2" s="29" t="s">
        <v>2424</v>
      </c>
      <c r="M2" t="str">
        <f>IF(E3&gt;0,"currencycancheck","")</f>
        <v/>
      </c>
      <c r="N2">
        <f>IF(M2&gt;"",1,0)</f>
        <v>0</v>
      </c>
      <c r="O2" s="3" t="str">
        <f>IF(P2=1,CONCATENATE(O3,O4,O5,O6),"othercurrency")</f>
        <v>othercurrency</v>
      </c>
      <c r="P2" s="7">
        <f>SUM(P3:P7)</f>
        <v>0</v>
      </c>
      <c r="Q2" s="27" t="s">
        <v>2691</v>
      </c>
      <c r="R2" s="5">
        <f>IF(bankcountry2=Conditions!Q2,1,0)</f>
        <v>0</v>
      </c>
      <c r="S2" s="3" t="s">
        <v>2691</v>
      </c>
      <c r="T2" s="5">
        <f>IF(bankcountry2=Conditions!S2,1,0)</f>
        <v>0</v>
      </c>
      <c r="U2" s="35" t="s">
        <v>2425</v>
      </c>
      <c r="V2" s="5">
        <f t="shared" ref="V2:V33" si="0">IF(bankcountry2=U2,1,0)</f>
        <v>0</v>
      </c>
      <c r="W2" s="32">
        <f t="shared" ref="W2:W33" si="1">IF(bankcountry2=U2,1,0)</f>
        <v>0</v>
      </c>
      <c r="X2" s="35" t="s">
        <v>2425</v>
      </c>
      <c r="Y2" s="5">
        <f t="shared" ref="Y2:Y47" si="2">IF(bankcountry2=X2,1,0)</f>
        <v>0</v>
      </c>
      <c r="Z2" s="32">
        <f t="shared" ref="Z2:Z33" si="3">IF(bankcountry2=X2,1,0)</f>
        <v>0</v>
      </c>
      <c r="AA2" s="35" t="s">
        <v>2425</v>
      </c>
      <c r="AB2" s="5">
        <f t="shared" ref="AB2:AB33" si="4">IF(bankcountry2=AA2,1,0)</f>
        <v>0</v>
      </c>
      <c r="AC2" s="32">
        <f t="shared" ref="AC2:AC33" si="5">IF(bankcountry2=AA2,1,0)</f>
        <v>0</v>
      </c>
      <c r="AD2" s="35" t="s">
        <v>2425</v>
      </c>
      <c r="AE2" s="5">
        <f t="shared" ref="AE2:AE45" si="6">IF(bankcountry2=AD2,1,0)</f>
        <v>0</v>
      </c>
      <c r="AF2" s="32">
        <f t="shared" ref="AF2:AF33" si="7">IF(bankcountry2=AD2,1,0)</f>
        <v>0</v>
      </c>
      <c r="AH2" t="str">
        <f>Languages!L127</f>
        <v>Editors &amp; Authors</v>
      </c>
      <c r="AI2" s="5" t="str">
        <f>IF(suppaytype=Conditions!AH2,"1","0")</f>
        <v>0</v>
      </c>
      <c r="AK2" t="s">
        <v>3050</v>
      </c>
      <c r="AL2" s="5" t="str">
        <f>IF(suppaytype=Languages!L131,"1","0")</f>
        <v>0</v>
      </c>
    </row>
    <row r="3" spans="1:38">
      <c r="B3" s="6" t="str">
        <f>IF(AND(Form!I21='Drop Down Lists'!A2,Form!I23='Drop Down Lists'!A2),Languages!L163,"")</f>
        <v/>
      </c>
      <c r="D3" s="50" t="s">
        <v>2424</v>
      </c>
      <c r="E3" s="20">
        <f>IF(ledger1=Conditions!D3,1,0)</f>
        <v>0</v>
      </c>
      <c r="F3" s="21" t="s">
        <v>2424</v>
      </c>
      <c r="G3" s="20">
        <f>IF(ledger1=Conditions!F3,1,0)</f>
        <v>0</v>
      </c>
      <c r="I3" s="23" t="s">
        <v>2520</v>
      </c>
      <c r="J3" s="20">
        <f>IF(ledger1=Conditions!I3,1,0)</f>
        <v>0</v>
      </c>
      <c r="K3" t="str">
        <f>IF(AND(E13&gt;0,taxcountry="United States",Form!D19&lt;&gt;Languages!L129,Form!D19&lt;&gt;Languages!L131),"A W9 Form is Required.  Please submit with your completed form.",IF(AND(E13&gt;0,taxcountry&lt;&gt;"United States",taxcountry&lt;&gt;"select a country…",Form!D19&lt;&gt;'Drop Down Lists'!D11),"A W8 Form is Required.  Please submit with your completed form.",IF(AND(E13&gt;0,taxcountry&lt;&gt;"United States",taxcountry&lt;&gt;"select a country…",Form!D19='Drop Down Lists'!D11),"A W8 Form must be completed to claim tax treaty benefits in order to avoid 30% withholding. If no W8 is provided, 30% will be withheld from your payments.","")))</f>
        <v/>
      </c>
      <c r="L3" s="29" t="s">
        <v>3051</v>
      </c>
      <c r="M3" t="str">
        <f>IF(AND(E3=0,Form!E32="Cheque"),"currencynoother","")</f>
        <v/>
      </c>
      <c r="N3">
        <f>IF(M3&gt;"",1,0)</f>
        <v>0</v>
      </c>
      <c r="O3" s="3" t="str">
        <f>IF(E29&gt;0,"othercurrencyUS","")</f>
        <v/>
      </c>
      <c r="P3">
        <f>IF(O3&gt;"",1,0)</f>
        <v>0</v>
      </c>
      <c r="Q3" s="27" t="s">
        <v>2890</v>
      </c>
      <c r="R3" s="5">
        <f>IF(bankcountry2=Conditions!Q3,1,0)</f>
        <v>0</v>
      </c>
      <c r="S3" s="3" t="s">
        <v>2890</v>
      </c>
      <c r="T3" s="5">
        <f>IF(bankcountry2=Conditions!S3,1,0)</f>
        <v>0</v>
      </c>
      <c r="U3" s="35" t="s">
        <v>2468</v>
      </c>
      <c r="V3" s="5">
        <f t="shared" si="0"/>
        <v>0</v>
      </c>
      <c r="W3" s="32">
        <f t="shared" si="1"/>
        <v>0</v>
      </c>
      <c r="X3" s="35" t="s">
        <v>2468</v>
      </c>
      <c r="Y3" s="5">
        <f t="shared" si="2"/>
        <v>0</v>
      </c>
      <c r="Z3" s="32">
        <f t="shared" si="3"/>
        <v>0</v>
      </c>
      <c r="AA3" s="35" t="s">
        <v>2468</v>
      </c>
      <c r="AB3" s="5">
        <f t="shared" si="4"/>
        <v>0</v>
      </c>
      <c r="AC3" s="32">
        <f t="shared" si="5"/>
        <v>0</v>
      </c>
      <c r="AD3" s="35" t="s">
        <v>2468</v>
      </c>
      <c r="AE3" s="5">
        <f t="shared" si="6"/>
        <v>0</v>
      </c>
      <c r="AF3" s="32">
        <f t="shared" si="7"/>
        <v>0</v>
      </c>
      <c r="AH3" t="str">
        <f>Languages!L129</f>
        <v>Customer Refund</v>
      </c>
      <c r="AI3" s="5" t="str">
        <f>IF(suppaytype=Conditions!AH3,"1","0")</f>
        <v>0</v>
      </c>
      <c r="AK3" t="s">
        <v>3052</v>
      </c>
      <c r="AL3" s="5" t="str">
        <f>IF(Form!J33='Drop Down Lists'!A2,"1","0")</f>
        <v>0</v>
      </c>
    </row>
    <row r="4" spans="1:38">
      <c r="B4" s="6"/>
      <c r="D4" s="50" t="s">
        <v>2441</v>
      </c>
      <c r="E4" s="20">
        <f>IF(ledger1=Conditions!D4,1,0)</f>
        <v>0</v>
      </c>
      <c r="F4" s="21"/>
      <c r="G4" s="20">
        <f>IF(ledger1=Conditions!F4,1,0)</f>
        <v>0</v>
      </c>
      <c r="I4" s="23" t="s">
        <v>2554</v>
      </c>
      <c r="J4" s="20">
        <f>IF(ledger1=Conditions!I4,1,0)</f>
        <v>0</v>
      </c>
      <c r="K4" t="str">
        <f>IF(AND(E10&gt;0,Form!I107=blank),"An IR 330 form is required.","")</f>
        <v/>
      </c>
      <c r="L4" s="29" t="s">
        <v>1096</v>
      </c>
      <c r="M4" t="str">
        <f>IF(OR(suppaytype="Book Royalties to be paid via Alliant",LEFT(suppaytype,44)="Book Royalties to be paid Outside of Alliant"),"currencynoother","")</f>
        <v/>
      </c>
      <c r="O4" s="3" t="str">
        <f>IF(E24&gt;0,"othercurrencyNL","")</f>
        <v/>
      </c>
      <c r="P4">
        <f>IF(O4&gt;"",1,0)</f>
        <v>0</v>
      </c>
      <c r="Q4" s="27" t="s">
        <v>2467</v>
      </c>
      <c r="R4" s="5">
        <f>IF(bankcountry2=Conditions!Q4,1,0)</f>
        <v>0</v>
      </c>
      <c r="S4" s="3" t="s">
        <v>2467</v>
      </c>
      <c r="T4" s="5">
        <f>IF(bankcountry2=Conditions!S4,1,0)</f>
        <v>0</v>
      </c>
      <c r="U4" s="178" t="s">
        <v>2385</v>
      </c>
      <c r="V4" s="179">
        <v>0</v>
      </c>
      <c r="W4" s="180">
        <v>0</v>
      </c>
      <c r="X4" s="178" t="s">
        <v>2385</v>
      </c>
      <c r="Y4" s="179">
        <v>0</v>
      </c>
      <c r="Z4" s="180">
        <v>0</v>
      </c>
      <c r="AA4" s="35" t="s">
        <v>2178</v>
      </c>
      <c r="AB4" s="5">
        <f t="shared" si="4"/>
        <v>0</v>
      </c>
      <c r="AC4" s="32">
        <f t="shared" si="5"/>
        <v>0</v>
      </c>
      <c r="AD4" s="35" t="s">
        <v>2178</v>
      </c>
      <c r="AE4" s="5">
        <f t="shared" si="6"/>
        <v>0</v>
      </c>
      <c r="AF4" s="32">
        <f t="shared" si="7"/>
        <v>0</v>
      </c>
      <c r="AH4" t="str">
        <f>Languages!L131</f>
        <v>Employee</v>
      </c>
      <c r="AI4" s="5" t="str">
        <f>IF(suppaytype=Conditions!AH4,"1","0")</f>
        <v>0</v>
      </c>
      <c r="AK4" t="s">
        <v>3053</v>
      </c>
      <c r="AL4" s="5" t="str">
        <f>IF(suppaytype=Languages!L127,"1","0")</f>
        <v>0</v>
      </c>
    </row>
    <row r="5" spans="1:38">
      <c r="B5" s="6"/>
      <c r="D5" s="50" t="s">
        <v>2487</v>
      </c>
      <c r="E5" s="20">
        <f>IF(ledger1=Conditions!D5,1,0)</f>
        <v>0</v>
      </c>
      <c r="F5" s="21"/>
      <c r="G5" s="20">
        <f>IF(ledger1=Conditions!F5,1,0)</f>
        <v>0</v>
      </c>
      <c r="I5" s="23" t="s">
        <v>2957</v>
      </c>
      <c r="J5" s="20">
        <f>IF(ledger1=Conditions!I5,1,0)</f>
        <v>0</v>
      </c>
      <c r="K5" t="str">
        <f>IF(suppaytype=Languages!L134,"MSME certificate is required.","")</f>
        <v/>
      </c>
      <c r="O5" s="3" t="str">
        <f>IF(OR(E14&gt;0,E27&gt;0),"othercurrencyLTDESP","")</f>
        <v/>
      </c>
      <c r="P5">
        <f>IF(O5&gt;"",1,0)</f>
        <v>0</v>
      </c>
      <c r="Q5" s="27" t="s">
        <v>2424</v>
      </c>
      <c r="R5" s="5">
        <f>IF(bankcountry2=Conditions!Q5,1,0)</f>
        <v>0</v>
      </c>
      <c r="S5" s="3" t="s">
        <v>2424</v>
      </c>
      <c r="T5" s="5">
        <f>IF(bankcountry2=Conditions!S5,1,0)</f>
        <v>0</v>
      </c>
      <c r="U5" s="35" t="s">
        <v>2178</v>
      </c>
      <c r="V5" s="5">
        <f t="shared" si="0"/>
        <v>0</v>
      </c>
      <c r="W5" s="32">
        <f t="shared" si="1"/>
        <v>0</v>
      </c>
      <c r="X5" s="35" t="s">
        <v>2178</v>
      </c>
      <c r="Y5" s="5">
        <f t="shared" si="2"/>
        <v>0</v>
      </c>
      <c r="Z5" s="32">
        <f t="shared" si="3"/>
        <v>0</v>
      </c>
      <c r="AA5" s="35" t="s">
        <v>2636</v>
      </c>
      <c r="AB5" s="5">
        <f t="shared" si="4"/>
        <v>0</v>
      </c>
      <c r="AC5" s="32">
        <f t="shared" si="5"/>
        <v>0</v>
      </c>
      <c r="AD5" s="35" t="s">
        <v>2636</v>
      </c>
      <c r="AE5" s="5">
        <f t="shared" si="6"/>
        <v>0</v>
      </c>
      <c r="AF5" s="32">
        <f t="shared" si="7"/>
        <v>0</v>
      </c>
      <c r="AH5" t="str">
        <f>Languages!L132</f>
        <v>Freelancers</v>
      </c>
      <c r="AI5" s="5" t="str">
        <f>IF(suppaytype=Conditions!AH5,"1","0")</f>
        <v>0</v>
      </c>
    </row>
    <row r="6" spans="1:38">
      <c r="D6" s="50" t="s">
        <v>2498</v>
      </c>
      <c r="E6" s="20">
        <f>IF(ledger1=Conditions!D6,1,0)</f>
        <v>0</v>
      </c>
      <c r="F6" s="21"/>
      <c r="G6" s="20">
        <f>IF(ledger1=Conditions!F6,1,0)</f>
        <v>0</v>
      </c>
      <c r="I6" s="23" t="s">
        <v>2467</v>
      </c>
      <c r="J6" s="20">
        <f>IF(ledger1=Conditions!I6,1,0)</f>
        <v>0</v>
      </c>
      <c r="P6">
        <f>IF(O6&gt;"",1,0)</f>
        <v>0</v>
      </c>
      <c r="Q6" s="27" t="s">
        <v>2520</v>
      </c>
      <c r="R6" s="5">
        <f>IF(bankcountry2=Conditions!Q6,1,0)</f>
        <v>0</v>
      </c>
      <c r="S6" s="3" t="s">
        <v>2520</v>
      </c>
      <c r="T6" s="5">
        <f>IF(bankcountry2=Conditions!S6,1,0)</f>
        <v>0</v>
      </c>
      <c r="U6" s="35" t="s">
        <v>2636</v>
      </c>
      <c r="V6" s="5">
        <f t="shared" si="0"/>
        <v>0</v>
      </c>
      <c r="W6" s="32">
        <f t="shared" si="1"/>
        <v>0</v>
      </c>
      <c r="X6" s="35" t="s">
        <v>2636</v>
      </c>
      <c r="Y6" s="5">
        <f t="shared" si="2"/>
        <v>0</v>
      </c>
      <c r="Z6" s="32">
        <f t="shared" si="3"/>
        <v>0</v>
      </c>
      <c r="AA6" s="35" t="s">
        <v>2676</v>
      </c>
      <c r="AB6" s="5">
        <f t="shared" si="4"/>
        <v>0</v>
      </c>
      <c r="AC6" s="32">
        <f t="shared" si="5"/>
        <v>0</v>
      </c>
      <c r="AD6" s="35" t="s">
        <v>2691</v>
      </c>
      <c r="AE6" s="5">
        <f t="shared" si="6"/>
        <v>0</v>
      </c>
      <c r="AF6" s="32">
        <f t="shared" si="7"/>
        <v>0</v>
      </c>
      <c r="AH6" t="str">
        <f>Languages!L137</f>
        <v>Royalties</v>
      </c>
      <c r="AI6" s="5" t="str">
        <f>IF(suppaytype=Conditions!AH6,"1","0")</f>
        <v>0</v>
      </c>
    </row>
    <row r="7" spans="1:38">
      <c r="D7" s="50" t="s">
        <v>2520</v>
      </c>
      <c r="E7" s="20">
        <f>IF(ledger1=Conditions!D7,1,0)</f>
        <v>0</v>
      </c>
      <c r="I7" s="23" t="s">
        <v>2477</v>
      </c>
      <c r="J7" s="20">
        <f>IF(ledger1=Conditions!I7,1,0)</f>
        <v>0</v>
      </c>
      <c r="P7">
        <f>IF(O7&gt;"",1,0)</f>
        <v>0</v>
      </c>
      <c r="Q7" s="27" t="s">
        <v>2487</v>
      </c>
      <c r="R7" s="5">
        <f>IF(bankcountry2=Conditions!Q7,1,0)</f>
        <v>0</v>
      </c>
      <c r="S7" s="3" t="s">
        <v>2487</v>
      </c>
      <c r="T7" s="5">
        <f>IF(bankcountry2=Conditions!S7,1,0)</f>
        <v>0</v>
      </c>
      <c r="U7" s="35" t="s">
        <v>2676</v>
      </c>
      <c r="V7" s="5">
        <f t="shared" si="0"/>
        <v>0</v>
      </c>
      <c r="W7" s="32">
        <f t="shared" si="1"/>
        <v>0</v>
      </c>
      <c r="X7" s="35" t="s">
        <v>2706</v>
      </c>
      <c r="Y7" s="5">
        <f t="shared" si="2"/>
        <v>0</v>
      </c>
      <c r="Z7" s="32">
        <f t="shared" si="3"/>
        <v>0</v>
      </c>
      <c r="AA7" s="35" t="s">
        <v>2691</v>
      </c>
      <c r="AB7" s="5">
        <f t="shared" si="4"/>
        <v>0</v>
      </c>
      <c r="AC7" s="32">
        <f t="shared" si="5"/>
        <v>0</v>
      </c>
      <c r="AD7" s="35" t="s">
        <v>2706</v>
      </c>
      <c r="AE7" s="5">
        <f t="shared" si="6"/>
        <v>0</v>
      </c>
      <c r="AF7" s="32">
        <f t="shared" si="7"/>
        <v>0</v>
      </c>
      <c r="AH7" t="s">
        <v>3054</v>
      </c>
      <c r="AI7" s="5" t="str">
        <f>IF(suppaytype=Conditions!AH7,"1","0")</f>
        <v>0</v>
      </c>
    </row>
    <row r="8" spans="1:38">
      <c r="D8" s="50" t="s">
        <v>2554</v>
      </c>
      <c r="E8" s="20">
        <f>IF(ledger1=Conditions!D8,1,0)</f>
        <v>0</v>
      </c>
      <c r="I8" s="23" t="s">
        <v>2487</v>
      </c>
      <c r="J8" s="20">
        <f>IF(ledger1=Conditions!I8,1,0)</f>
        <v>0</v>
      </c>
      <c r="Q8" s="27" t="s">
        <v>2615</v>
      </c>
      <c r="R8" s="5">
        <f>IF(bankcountry2=Conditions!Q8,1,0)</f>
        <v>0</v>
      </c>
      <c r="S8" s="3" t="s">
        <v>2615</v>
      </c>
      <c r="T8" s="5">
        <f>IF(bankcountry2=Conditions!S8,1,0)</f>
        <v>0</v>
      </c>
      <c r="U8" s="35" t="s">
        <v>2691</v>
      </c>
      <c r="V8" s="5">
        <f t="shared" si="0"/>
        <v>0</v>
      </c>
      <c r="W8" s="32">
        <f t="shared" si="1"/>
        <v>0</v>
      </c>
      <c r="X8" s="35" t="s">
        <v>2424</v>
      </c>
      <c r="Y8" s="5">
        <f t="shared" si="2"/>
        <v>0</v>
      </c>
      <c r="Z8" s="32">
        <f t="shared" si="3"/>
        <v>0</v>
      </c>
      <c r="AA8" s="35" t="s">
        <v>2706</v>
      </c>
      <c r="AB8" s="5">
        <f t="shared" si="4"/>
        <v>0</v>
      </c>
      <c r="AC8" s="32">
        <f t="shared" si="5"/>
        <v>0</v>
      </c>
      <c r="AD8" s="35" t="s">
        <v>2793</v>
      </c>
      <c r="AE8" s="5">
        <f t="shared" si="6"/>
        <v>0</v>
      </c>
      <c r="AF8" s="32">
        <f t="shared" si="7"/>
        <v>0</v>
      </c>
      <c r="AH8" t="s">
        <v>1136</v>
      </c>
      <c r="AI8" s="5" t="str">
        <f>IF(suppaytype=Conditions!AH8,"1","0")</f>
        <v>0</v>
      </c>
    </row>
    <row r="9" spans="1:38">
      <c r="D9" s="51" t="s">
        <v>2565</v>
      </c>
      <c r="E9" s="20">
        <f>IF(ledger1=Conditions!D9,1,0)</f>
        <v>0</v>
      </c>
      <c r="I9" s="23"/>
      <c r="J9" s="20">
        <f>IF(ledger1=Conditions!I9,1,0)</f>
        <v>0</v>
      </c>
      <c r="Q9" s="27" t="s">
        <v>2923</v>
      </c>
      <c r="R9" s="5">
        <f>IF(bankcountry2=Conditions!Q9,1,0)</f>
        <v>0</v>
      </c>
      <c r="S9" s="3" t="s">
        <v>2923</v>
      </c>
      <c r="T9" s="5">
        <f>IF(bankcountry2=Conditions!S9,1,0)</f>
        <v>0</v>
      </c>
      <c r="U9" s="35" t="s">
        <v>2706</v>
      </c>
      <c r="V9" s="5">
        <f t="shared" si="0"/>
        <v>0</v>
      </c>
      <c r="W9" s="32">
        <f t="shared" si="1"/>
        <v>0</v>
      </c>
      <c r="X9" s="35" t="s">
        <v>2793</v>
      </c>
      <c r="Y9" s="5">
        <f t="shared" si="2"/>
        <v>0</v>
      </c>
      <c r="Z9" s="32">
        <f t="shared" si="3"/>
        <v>0</v>
      </c>
      <c r="AA9" s="35" t="s">
        <v>2791</v>
      </c>
      <c r="AB9" s="5">
        <f t="shared" si="4"/>
        <v>0</v>
      </c>
      <c r="AC9" s="32">
        <f t="shared" si="5"/>
        <v>0</v>
      </c>
      <c r="AD9" s="35" t="s">
        <v>2796</v>
      </c>
      <c r="AE9" s="5">
        <f t="shared" si="6"/>
        <v>0</v>
      </c>
      <c r="AF9" s="32">
        <f t="shared" si="7"/>
        <v>0</v>
      </c>
      <c r="AH9" t="str">
        <f>Languages!L136</f>
        <v>Rent / Lease</v>
      </c>
      <c r="AI9" s="5" t="str">
        <f>IF(suppaytype=Conditions!AH9,"1","0")</f>
        <v>0</v>
      </c>
    </row>
    <row r="10" spans="1:38">
      <c r="D10" s="50" t="s">
        <v>2585</v>
      </c>
      <c r="E10" s="20">
        <f>IF(ledger1=Conditions!D10,1,0)</f>
        <v>0</v>
      </c>
      <c r="Q10" s="27" t="s">
        <v>2293</v>
      </c>
      <c r="R10" s="5">
        <f>IF(bankcountry2=Conditions!Q10,1,0)</f>
        <v>0</v>
      </c>
      <c r="S10" s="3" t="s">
        <v>2293</v>
      </c>
      <c r="T10" s="5">
        <f>IF(bankcountry2=Conditions!S10,1,0)</f>
        <v>0</v>
      </c>
      <c r="U10" s="35" t="s">
        <v>2424</v>
      </c>
      <c r="V10" s="5">
        <f t="shared" si="0"/>
        <v>0</v>
      </c>
      <c r="W10" s="32">
        <f t="shared" si="1"/>
        <v>0</v>
      </c>
      <c r="X10" s="35" t="s">
        <v>2796</v>
      </c>
      <c r="Y10" s="5">
        <f t="shared" si="2"/>
        <v>0</v>
      </c>
      <c r="Z10" s="32">
        <f t="shared" si="3"/>
        <v>0</v>
      </c>
      <c r="AA10" s="35" t="s">
        <v>2793</v>
      </c>
      <c r="AB10" s="5">
        <f t="shared" si="4"/>
        <v>0</v>
      </c>
      <c r="AC10" s="32">
        <f t="shared" si="5"/>
        <v>0</v>
      </c>
      <c r="AD10" s="35" t="s">
        <v>2799</v>
      </c>
      <c r="AE10" s="5">
        <f t="shared" si="6"/>
        <v>0</v>
      </c>
      <c r="AF10" s="32">
        <f t="shared" si="7"/>
        <v>0</v>
      </c>
    </row>
    <row r="11" spans="1:38">
      <c r="D11" s="51" t="s">
        <v>2615</v>
      </c>
      <c r="E11" s="20">
        <f>IF(ledger1=Conditions!D11,1,0)</f>
        <v>0</v>
      </c>
      <c r="Q11" s="27" t="s">
        <v>2441</v>
      </c>
      <c r="R11" s="5">
        <f>IF(bankcountry2=Conditions!Q11,1,0)</f>
        <v>0</v>
      </c>
      <c r="S11" s="3" t="s">
        <v>12</v>
      </c>
      <c r="T11" s="5">
        <f>IF(bankcountry2=Conditions!S11,1,0)</f>
        <v>1</v>
      </c>
      <c r="U11" s="35" t="s">
        <v>2791</v>
      </c>
      <c r="V11" s="5">
        <f t="shared" si="0"/>
        <v>0</v>
      </c>
      <c r="W11" s="32">
        <f t="shared" si="1"/>
        <v>0</v>
      </c>
      <c r="X11" s="35" t="s">
        <v>2799</v>
      </c>
      <c r="Y11" s="5">
        <f t="shared" si="2"/>
        <v>0</v>
      </c>
      <c r="Z11" s="32">
        <f t="shared" si="3"/>
        <v>0</v>
      </c>
      <c r="AA11" s="35" t="s">
        <v>2796</v>
      </c>
      <c r="AB11" s="5">
        <f t="shared" si="4"/>
        <v>0</v>
      </c>
      <c r="AC11" s="32">
        <f t="shared" si="5"/>
        <v>0</v>
      </c>
      <c r="AD11" s="35" t="s">
        <v>2822</v>
      </c>
      <c r="AE11" s="5">
        <f t="shared" si="6"/>
        <v>0</v>
      </c>
      <c r="AF11" s="32">
        <f t="shared" si="7"/>
        <v>0</v>
      </c>
    </row>
    <row r="12" spans="1:38">
      <c r="D12" s="50" t="s">
        <v>2650</v>
      </c>
      <c r="E12" s="20">
        <f>IF(ledger1=Conditions!D12,1,0)</f>
        <v>0</v>
      </c>
      <c r="Q12" s="27" t="s">
        <v>2554</v>
      </c>
      <c r="R12" s="5">
        <f>IF(bankcountry2=Conditions!Q12,1,0)</f>
        <v>0</v>
      </c>
      <c r="S12" s="3"/>
      <c r="U12" s="35" t="s">
        <v>2793</v>
      </c>
      <c r="V12" s="5">
        <f t="shared" si="0"/>
        <v>0</v>
      </c>
      <c r="W12" s="32">
        <f t="shared" si="1"/>
        <v>0</v>
      </c>
      <c r="X12" s="35" t="s">
        <v>2822</v>
      </c>
      <c r="Y12" s="5">
        <f t="shared" si="2"/>
        <v>0</v>
      </c>
      <c r="Z12" s="32">
        <f t="shared" si="3"/>
        <v>0</v>
      </c>
      <c r="AA12" s="35" t="s">
        <v>2799</v>
      </c>
      <c r="AB12" s="5">
        <f t="shared" si="4"/>
        <v>0</v>
      </c>
      <c r="AC12" s="32">
        <f t="shared" si="5"/>
        <v>0</v>
      </c>
      <c r="AD12" s="35" t="s">
        <v>2828</v>
      </c>
      <c r="AE12" s="5">
        <f t="shared" si="6"/>
        <v>0</v>
      </c>
      <c r="AF12" s="32">
        <f t="shared" si="7"/>
        <v>0</v>
      </c>
    </row>
    <row r="13" spans="1:38">
      <c r="D13" s="51" t="s">
        <v>2657</v>
      </c>
      <c r="E13" s="52">
        <f>E14+E15+E16</f>
        <v>0</v>
      </c>
      <c r="Q13" s="27" t="s">
        <v>12</v>
      </c>
      <c r="R13" s="5">
        <f>IF(bankcountry2=Conditions!Q13,1,0)</f>
        <v>1</v>
      </c>
      <c r="U13" s="35" t="s">
        <v>2796</v>
      </c>
      <c r="V13" s="5">
        <f t="shared" si="0"/>
        <v>0</v>
      </c>
      <c r="W13" s="32">
        <f t="shared" si="1"/>
        <v>0</v>
      </c>
      <c r="X13" s="35" t="s">
        <v>2828</v>
      </c>
      <c r="Y13" s="5">
        <f t="shared" si="2"/>
        <v>0</v>
      </c>
      <c r="Z13" s="32">
        <f t="shared" si="3"/>
        <v>0</v>
      </c>
      <c r="AA13" s="35" t="s">
        <v>2822</v>
      </c>
      <c r="AB13" s="5">
        <f t="shared" si="4"/>
        <v>0</v>
      </c>
      <c r="AC13" s="32">
        <f t="shared" si="5"/>
        <v>0</v>
      </c>
      <c r="AD13" s="35" t="s">
        <v>2832</v>
      </c>
      <c r="AE13" s="5">
        <f t="shared" si="6"/>
        <v>0</v>
      </c>
      <c r="AF13" s="32">
        <f t="shared" si="7"/>
        <v>0</v>
      </c>
      <c r="AH13" t="s">
        <v>287</v>
      </c>
      <c r="AI13" s="5">
        <f>AI14+AI15+AI16+AI17+AI18</f>
        <v>0</v>
      </c>
    </row>
    <row r="14" spans="1:38">
      <c r="D14" s="50" t="s">
        <v>2657</v>
      </c>
      <c r="E14" s="20">
        <f>IF(ledger1=Conditions!D14,1,0)</f>
        <v>0</v>
      </c>
      <c r="Q14" s="34"/>
      <c r="U14" s="35" t="s">
        <v>2799</v>
      </c>
      <c r="V14" s="5">
        <f t="shared" si="0"/>
        <v>0</v>
      </c>
      <c r="W14" s="32">
        <f t="shared" si="1"/>
        <v>0</v>
      </c>
      <c r="X14" s="35" t="s">
        <v>2832</v>
      </c>
      <c r="Y14" s="5">
        <f t="shared" si="2"/>
        <v>0</v>
      </c>
      <c r="Z14" s="32">
        <f t="shared" si="3"/>
        <v>0</v>
      </c>
      <c r="AA14" s="35" t="s">
        <v>2828</v>
      </c>
      <c r="AB14" s="5">
        <f t="shared" si="4"/>
        <v>0</v>
      </c>
      <c r="AC14" s="32">
        <f t="shared" si="5"/>
        <v>0</v>
      </c>
      <c r="AD14" s="35" t="s">
        <v>2467</v>
      </c>
      <c r="AE14" s="5">
        <f t="shared" si="6"/>
        <v>0</v>
      </c>
      <c r="AF14" s="32">
        <f t="shared" si="7"/>
        <v>0</v>
      </c>
      <c r="AH14" t="str">
        <f>Languages!L127</f>
        <v>Editors &amp; Authors</v>
      </c>
      <c r="AI14" s="5" t="str">
        <f>IF(suppaytype=Conditions!AH14,"1","0")</f>
        <v>0</v>
      </c>
    </row>
    <row r="15" spans="1:38">
      <c r="D15" s="51" t="s">
        <v>2670</v>
      </c>
      <c r="E15" s="20">
        <f>IF(ledger1=Conditions!D15,1,0)</f>
        <v>0</v>
      </c>
      <c r="Q15" s="34"/>
      <c r="U15" s="35" t="s">
        <v>2822</v>
      </c>
      <c r="V15" s="5">
        <f t="shared" si="0"/>
        <v>0</v>
      </c>
      <c r="W15" s="32">
        <f t="shared" si="1"/>
        <v>0</v>
      </c>
      <c r="X15" s="35" t="s">
        <v>2467</v>
      </c>
      <c r="Y15" s="5">
        <f t="shared" si="2"/>
        <v>0</v>
      </c>
      <c r="Z15" s="32">
        <f t="shared" si="3"/>
        <v>0</v>
      </c>
      <c r="AA15" s="35" t="s">
        <v>2832</v>
      </c>
      <c r="AB15" s="5">
        <f t="shared" si="4"/>
        <v>0</v>
      </c>
      <c r="AC15" s="32">
        <f t="shared" si="5"/>
        <v>0</v>
      </c>
      <c r="AD15" s="35" t="s">
        <v>2846</v>
      </c>
      <c r="AE15" s="5">
        <f t="shared" si="6"/>
        <v>0</v>
      </c>
      <c r="AF15" s="32">
        <f t="shared" si="7"/>
        <v>0</v>
      </c>
      <c r="AH15" t="str">
        <f>Languages!L129</f>
        <v>Customer Refund</v>
      </c>
      <c r="AI15" s="5" t="str">
        <f>IF(suppaytype=Conditions!AH15,"1","0")</f>
        <v>0</v>
      </c>
    </row>
    <row r="16" spans="1:38">
      <c r="D16" s="51" t="s">
        <v>2531</v>
      </c>
      <c r="E16" s="20">
        <f>IF(ledger1=Conditions!D16,1,0)</f>
        <v>0</v>
      </c>
      <c r="Q16" s="34"/>
      <c r="U16" s="35" t="s">
        <v>2828</v>
      </c>
      <c r="V16" s="5">
        <f t="shared" si="0"/>
        <v>0</v>
      </c>
      <c r="W16" s="32">
        <f t="shared" si="1"/>
        <v>0</v>
      </c>
      <c r="X16" s="35" t="s">
        <v>2846</v>
      </c>
      <c r="Y16" s="5">
        <f t="shared" si="2"/>
        <v>0</v>
      </c>
      <c r="Z16" s="32">
        <f t="shared" si="3"/>
        <v>0</v>
      </c>
      <c r="AA16" s="35" t="s">
        <v>2467</v>
      </c>
      <c r="AB16" s="5">
        <f t="shared" si="4"/>
        <v>0</v>
      </c>
      <c r="AC16" s="32">
        <f t="shared" si="5"/>
        <v>0</v>
      </c>
      <c r="AD16" s="35" t="s">
        <v>2477</v>
      </c>
      <c r="AE16" s="5">
        <f t="shared" si="6"/>
        <v>0</v>
      </c>
      <c r="AF16" s="32">
        <f t="shared" si="7"/>
        <v>0</v>
      </c>
      <c r="AH16" t="str">
        <f>Languages!L131</f>
        <v>Employee</v>
      </c>
      <c r="AI16" s="5" t="str">
        <f>IF(suppaytype=Conditions!AH16,"1","0")</f>
        <v>0</v>
      </c>
    </row>
    <row r="17" spans="4:35">
      <c r="D17" s="51" t="s">
        <v>3055</v>
      </c>
      <c r="E17" s="52">
        <f>E4+E5+E7+E8+E9+E11</f>
        <v>0</v>
      </c>
      <c r="Q17" s="34"/>
      <c r="U17" s="35" t="s">
        <v>2832</v>
      </c>
      <c r="V17" s="5">
        <f t="shared" si="0"/>
        <v>0</v>
      </c>
      <c r="W17" s="32">
        <f t="shared" si="1"/>
        <v>0</v>
      </c>
      <c r="X17" s="35" t="s">
        <v>2477</v>
      </c>
      <c r="Y17" s="5">
        <f t="shared" si="2"/>
        <v>0</v>
      </c>
      <c r="Z17" s="32">
        <f t="shared" si="3"/>
        <v>0</v>
      </c>
      <c r="AA17" s="35" t="s">
        <v>2846</v>
      </c>
      <c r="AB17" s="5">
        <f t="shared" si="4"/>
        <v>0</v>
      </c>
      <c r="AC17" s="32">
        <f t="shared" si="5"/>
        <v>0</v>
      </c>
      <c r="AD17" s="35" t="s">
        <v>2851</v>
      </c>
      <c r="AE17" s="5">
        <f t="shared" si="6"/>
        <v>0</v>
      </c>
      <c r="AF17" s="32">
        <f t="shared" si="7"/>
        <v>0</v>
      </c>
      <c r="AH17" t="str">
        <f>Languages!L132</f>
        <v>Freelancers</v>
      </c>
      <c r="AI17" s="5" t="str">
        <f>IF(suppaytype=Conditions!AH17,"1","0")</f>
        <v>0</v>
      </c>
    </row>
    <row r="18" spans="4:35">
      <c r="D18" s="51" t="s">
        <v>3056</v>
      </c>
      <c r="E18" s="52">
        <f>E2+E10</f>
        <v>0</v>
      </c>
      <c r="Q18" s="34"/>
      <c r="U18" s="35" t="s">
        <v>2467</v>
      </c>
      <c r="V18" s="5">
        <f t="shared" si="0"/>
        <v>0</v>
      </c>
      <c r="W18" s="32">
        <f t="shared" si="1"/>
        <v>0</v>
      </c>
      <c r="X18" s="35" t="s">
        <v>2851</v>
      </c>
      <c r="Y18" s="5">
        <f t="shared" si="2"/>
        <v>0</v>
      </c>
      <c r="Z18" s="32">
        <f t="shared" si="3"/>
        <v>0</v>
      </c>
      <c r="AA18" s="35" t="s">
        <v>2477</v>
      </c>
      <c r="AB18" s="5">
        <f t="shared" si="4"/>
        <v>0</v>
      </c>
      <c r="AC18" s="32">
        <f t="shared" si="5"/>
        <v>0</v>
      </c>
      <c r="AD18" s="35" t="s">
        <v>2853</v>
      </c>
      <c r="AE18" s="5">
        <f t="shared" si="6"/>
        <v>0</v>
      </c>
      <c r="AF18" s="32">
        <f t="shared" si="7"/>
        <v>0</v>
      </c>
      <c r="AH18" t="str">
        <f>Languages!L136</f>
        <v>Rent / Lease</v>
      </c>
      <c r="AI18" s="5" t="str">
        <f>IF(suppaytype=Conditions!AH18,"1","0")</f>
        <v>0</v>
      </c>
    </row>
    <row r="19" spans="4:35">
      <c r="D19" s="3" t="s">
        <v>3057</v>
      </c>
      <c r="E19">
        <f>E3+E14+E15+E16</f>
        <v>0</v>
      </c>
      <c r="Q19" s="34"/>
      <c r="U19" s="35" t="s">
        <v>2846</v>
      </c>
      <c r="V19" s="5">
        <f t="shared" si="0"/>
        <v>0</v>
      </c>
      <c r="W19" s="32">
        <f t="shared" si="1"/>
        <v>0</v>
      </c>
      <c r="X19" s="35" t="s">
        <v>2853</v>
      </c>
      <c r="Y19" s="5">
        <f t="shared" si="2"/>
        <v>0</v>
      </c>
      <c r="Z19" s="32">
        <f t="shared" si="3"/>
        <v>0</v>
      </c>
      <c r="AA19" s="35" t="s">
        <v>2851</v>
      </c>
      <c r="AB19" s="5">
        <f t="shared" si="4"/>
        <v>0</v>
      </c>
      <c r="AC19" s="32">
        <f t="shared" si="5"/>
        <v>0</v>
      </c>
      <c r="AD19" s="35" t="s">
        <v>2855</v>
      </c>
      <c r="AE19" s="5">
        <f t="shared" si="6"/>
        <v>0</v>
      </c>
      <c r="AF19" s="32">
        <f t="shared" si="7"/>
        <v>0</v>
      </c>
    </row>
    <row r="20" spans="4:35">
      <c r="D20" s="3" t="s">
        <v>2508</v>
      </c>
      <c r="E20">
        <f>IF(ledger1=Conditions!D20,1,0)</f>
        <v>0</v>
      </c>
      <c r="Q20" s="34"/>
      <c r="U20" s="35" t="s">
        <v>2477</v>
      </c>
      <c r="V20" s="5">
        <f t="shared" si="0"/>
        <v>0</v>
      </c>
      <c r="W20" s="32">
        <f t="shared" si="1"/>
        <v>0</v>
      </c>
      <c r="X20" s="35" t="s">
        <v>2855</v>
      </c>
      <c r="Y20" s="5">
        <f t="shared" si="2"/>
        <v>0</v>
      </c>
      <c r="Z20" s="32">
        <f t="shared" si="3"/>
        <v>0</v>
      </c>
      <c r="AA20" s="35" t="s">
        <v>2853</v>
      </c>
      <c r="AB20" s="5">
        <f t="shared" si="4"/>
        <v>0</v>
      </c>
      <c r="AC20" s="32">
        <f t="shared" si="5"/>
        <v>0</v>
      </c>
      <c r="AD20" s="35" t="s">
        <v>2883</v>
      </c>
      <c r="AE20" s="5">
        <f t="shared" si="6"/>
        <v>0</v>
      </c>
      <c r="AF20" s="32">
        <f t="shared" si="7"/>
        <v>0</v>
      </c>
    </row>
    <row r="21" spans="4:35">
      <c r="D21" s="6" t="s">
        <v>2543</v>
      </c>
      <c r="E21">
        <f>IF(ledger1=Conditions!D21,1,0)</f>
        <v>0</v>
      </c>
      <c r="Q21" s="34"/>
      <c r="U21" s="35" t="s">
        <v>2851</v>
      </c>
      <c r="V21" s="5">
        <f t="shared" si="0"/>
        <v>0</v>
      </c>
      <c r="W21" s="32">
        <f t="shared" si="1"/>
        <v>0</v>
      </c>
      <c r="X21" s="35" t="s">
        <v>2487</v>
      </c>
      <c r="Y21" s="5">
        <f t="shared" si="2"/>
        <v>0</v>
      </c>
      <c r="Z21" s="32">
        <f t="shared" si="3"/>
        <v>0</v>
      </c>
      <c r="AA21" s="35" t="s">
        <v>2855</v>
      </c>
      <c r="AB21" s="5">
        <f t="shared" si="4"/>
        <v>0</v>
      </c>
      <c r="AC21" s="32">
        <f t="shared" si="5"/>
        <v>0</v>
      </c>
      <c r="AD21" s="35" t="s">
        <v>2884</v>
      </c>
      <c r="AE21" s="5">
        <f t="shared" si="6"/>
        <v>0</v>
      </c>
      <c r="AF21" s="32">
        <f t="shared" si="7"/>
        <v>0</v>
      </c>
    </row>
    <row r="22" spans="4:35">
      <c r="D22" s="3" t="s">
        <v>3058</v>
      </c>
      <c r="E22">
        <f>E14+E12</f>
        <v>0</v>
      </c>
      <c r="Q22" s="34"/>
      <c r="U22" s="35" t="s">
        <v>2853</v>
      </c>
      <c r="V22" s="5">
        <f t="shared" si="0"/>
        <v>0</v>
      </c>
      <c r="W22" s="32">
        <f t="shared" si="1"/>
        <v>0</v>
      </c>
      <c r="X22" s="35" t="s">
        <v>2883</v>
      </c>
      <c r="Y22" s="5">
        <f t="shared" si="2"/>
        <v>0</v>
      </c>
      <c r="Z22" s="32">
        <f t="shared" si="3"/>
        <v>0</v>
      </c>
      <c r="AA22" s="35" t="s">
        <v>2867</v>
      </c>
      <c r="AB22" s="5">
        <f t="shared" si="4"/>
        <v>0</v>
      </c>
      <c r="AC22" s="32">
        <f t="shared" si="5"/>
        <v>0</v>
      </c>
      <c r="AD22" s="35" t="s">
        <v>2508</v>
      </c>
      <c r="AE22" s="5">
        <f t="shared" si="6"/>
        <v>0</v>
      </c>
      <c r="AF22" s="32">
        <f t="shared" si="7"/>
        <v>0</v>
      </c>
    </row>
    <row r="23" spans="4:35">
      <c r="D23" s="3"/>
      <c r="Q23" s="34"/>
      <c r="U23" s="35" t="s">
        <v>2855</v>
      </c>
      <c r="V23" s="5">
        <f t="shared" si="0"/>
        <v>0</v>
      </c>
      <c r="W23" s="32">
        <f t="shared" si="1"/>
        <v>0</v>
      </c>
      <c r="X23" s="35" t="s">
        <v>2884</v>
      </c>
      <c r="Y23" s="5">
        <f t="shared" si="2"/>
        <v>0</v>
      </c>
      <c r="Z23" s="32">
        <f t="shared" si="3"/>
        <v>0</v>
      </c>
      <c r="AA23" s="35" t="s">
        <v>2883</v>
      </c>
      <c r="AB23" s="5">
        <f t="shared" si="4"/>
        <v>0</v>
      </c>
      <c r="AC23" s="32">
        <f t="shared" si="5"/>
        <v>0</v>
      </c>
      <c r="AD23" s="35" t="s">
        <v>2889</v>
      </c>
      <c r="AE23" s="5">
        <f t="shared" si="6"/>
        <v>0</v>
      </c>
      <c r="AF23" s="32">
        <f t="shared" si="7"/>
        <v>0</v>
      </c>
    </row>
    <row r="24" spans="4:35">
      <c r="D24" s="3"/>
      <c r="Q24" s="34"/>
      <c r="U24" s="35" t="s">
        <v>2867</v>
      </c>
      <c r="V24" s="5">
        <f t="shared" si="0"/>
        <v>0</v>
      </c>
      <c r="W24" s="32">
        <f t="shared" si="1"/>
        <v>0</v>
      </c>
      <c r="X24" s="35" t="s">
        <v>2508</v>
      </c>
      <c r="Y24" s="5">
        <f t="shared" si="2"/>
        <v>0</v>
      </c>
      <c r="Z24" s="32">
        <f t="shared" si="3"/>
        <v>0</v>
      </c>
      <c r="AA24" s="35" t="s">
        <v>2884</v>
      </c>
      <c r="AB24" s="5">
        <f t="shared" si="4"/>
        <v>0</v>
      </c>
      <c r="AC24" s="32">
        <f t="shared" si="5"/>
        <v>0</v>
      </c>
      <c r="AD24" s="35" t="s">
        <v>2890</v>
      </c>
      <c r="AE24" s="5">
        <f t="shared" si="6"/>
        <v>0</v>
      </c>
      <c r="AF24" s="32">
        <f t="shared" si="7"/>
        <v>0</v>
      </c>
    </row>
    <row r="25" spans="4:35">
      <c r="D25" s="3"/>
      <c r="Q25" s="34"/>
      <c r="U25" s="35" t="s">
        <v>2487</v>
      </c>
      <c r="V25" s="5">
        <f t="shared" si="0"/>
        <v>0</v>
      </c>
      <c r="W25" s="32">
        <f t="shared" si="1"/>
        <v>0</v>
      </c>
      <c r="X25" s="35" t="s">
        <v>2890</v>
      </c>
      <c r="Y25" s="5">
        <f t="shared" si="2"/>
        <v>0</v>
      </c>
      <c r="Z25" s="32">
        <f t="shared" si="3"/>
        <v>0</v>
      </c>
      <c r="AA25" s="35" t="s">
        <v>2508</v>
      </c>
      <c r="AB25" s="5">
        <f t="shared" si="4"/>
        <v>0</v>
      </c>
      <c r="AC25" s="32">
        <f t="shared" si="5"/>
        <v>0</v>
      </c>
      <c r="AD25" s="35" t="s">
        <v>2896</v>
      </c>
      <c r="AE25" s="5">
        <f t="shared" si="6"/>
        <v>0</v>
      </c>
      <c r="AF25" s="32">
        <f t="shared" si="7"/>
        <v>0</v>
      </c>
    </row>
    <row r="26" spans="4:35">
      <c r="D26" s="3"/>
      <c r="U26" s="35" t="s">
        <v>2883</v>
      </c>
      <c r="V26" s="5">
        <f t="shared" si="0"/>
        <v>0</v>
      </c>
      <c r="W26" s="32">
        <f t="shared" si="1"/>
        <v>0</v>
      </c>
      <c r="X26" s="35" t="s">
        <v>2520</v>
      </c>
      <c r="Y26" s="5">
        <f t="shared" si="2"/>
        <v>0</v>
      </c>
      <c r="Z26" s="32">
        <f t="shared" si="3"/>
        <v>0</v>
      </c>
      <c r="AA26" s="35" t="s">
        <v>2887</v>
      </c>
      <c r="AB26" s="5">
        <f t="shared" si="4"/>
        <v>0</v>
      </c>
      <c r="AC26" s="32">
        <f t="shared" si="5"/>
        <v>0</v>
      </c>
      <c r="AD26" s="35" t="s">
        <v>2903</v>
      </c>
      <c r="AE26" s="5">
        <f t="shared" si="6"/>
        <v>0</v>
      </c>
      <c r="AF26" s="32">
        <f t="shared" si="7"/>
        <v>0</v>
      </c>
    </row>
    <row r="27" spans="4:35">
      <c r="D27" s="3"/>
      <c r="U27" s="35" t="s">
        <v>2884</v>
      </c>
      <c r="V27" s="5">
        <f t="shared" si="0"/>
        <v>0</v>
      </c>
      <c r="W27" s="32">
        <f t="shared" si="1"/>
        <v>0</v>
      </c>
      <c r="X27" s="35" t="s">
        <v>2903</v>
      </c>
      <c r="Y27" s="5">
        <f t="shared" si="2"/>
        <v>0</v>
      </c>
      <c r="Z27" s="32">
        <f t="shared" si="3"/>
        <v>0</v>
      </c>
      <c r="AA27" s="35" t="s">
        <v>2889</v>
      </c>
      <c r="AB27" s="5">
        <f t="shared" si="4"/>
        <v>0</v>
      </c>
      <c r="AC27" s="32">
        <f t="shared" si="5"/>
        <v>0</v>
      </c>
      <c r="AD27" s="35" t="s">
        <v>2908</v>
      </c>
      <c r="AE27" s="5">
        <f t="shared" si="6"/>
        <v>0</v>
      </c>
      <c r="AF27" s="32">
        <f t="shared" si="7"/>
        <v>0</v>
      </c>
    </row>
    <row r="28" spans="4:35">
      <c r="D28" s="3"/>
      <c r="U28" s="35" t="s">
        <v>2508</v>
      </c>
      <c r="V28" s="5">
        <f t="shared" si="0"/>
        <v>0</v>
      </c>
      <c r="W28" s="32">
        <f t="shared" si="1"/>
        <v>0</v>
      </c>
      <c r="X28" s="35" t="s">
        <v>2908</v>
      </c>
      <c r="Y28" s="5">
        <f t="shared" si="2"/>
        <v>0</v>
      </c>
      <c r="Z28" s="32">
        <f t="shared" si="3"/>
        <v>0</v>
      </c>
      <c r="AA28" s="35" t="s">
        <v>2890</v>
      </c>
      <c r="AB28" s="5">
        <f t="shared" si="4"/>
        <v>0</v>
      </c>
      <c r="AC28" s="32">
        <f t="shared" si="5"/>
        <v>0</v>
      </c>
      <c r="AD28" s="35" t="s">
        <v>2909</v>
      </c>
      <c r="AE28" s="5">
        <f t="shared" si="6"/>
        <v>0</v>
      </c>
      <c r="AF28" s="32">
        <f t="shared" si="7"/>
        <v>0</v>
      </c>
    </row>
    <row r="29" spans="4:35">
      <c r="D29" s="3"/>
      <c r="U29" s="35" t="s">
        <v>2887</v>
      </c>
      <c r="V29" s="5">
        <f t="shared" si="0"/>
        <v>0</v>
      </c>
      <c r="W29" s="32">
        <f t="shared" si="1"/>
        <v>0</v>
      </c>
      <c r="X29" s="35" t="s">
        <v>2909</v>
      </c>
      <c r="Y29" s="5">
        <f t="shared" si="2"/>
        <v>0</v>
      </c>
      <c r="Z29" s="32">
        <f t="shared" si="3"/>
        <v>0</v>
      </c>
      <c r="AA29" s="35" t="s">
        <v>2893</v>
      </c>
      <c r="AB29" s="5">
        <f t="shared" si="4"/>
        <v>0</v>
      </c>
      <c r="AC29" s="32">
        <f t="shared" si="5"/>
        <v>0</v>
      </c>
      <c r="AD29" s="35" t="s">
        <v>2910</v>
      </c>
      <c r="AE29" s="5">
        <f t="shared" si="6"/>
        <v>0</v>
      </c>
      <c r="AF29" s="32">
        <f t="shared" si="7"/>
        <v>0</v>
      </c>
    </row>
    <row r="30" spans="4:35">
      <c r="U30" s="35" t="s">
        <v>2889</v>
      </c>
      <c r="V30" s="5">
        <f t="shared" si="0"/>
        <v>0</v>
      </c>
      <c r="W30" s="32">
        <f t="shared" si="1"/>
        <v>0</v>
      </c>
      <c r="X30" s="35" t="s">
        <v>2910</v>
      </c>
      <c r="Y30" s="5">
        <f t="shared" si="2"/>
        <v>0</v>
      </c>
      <c r="Z30" s="32">
        <f t="shared" si="3"/>
        <v>0</v>
      </c>
      <c r="AA30" s="35" t="s">
        <v>2896</v>
      </c>
      <c r="AB30" s="5">
        <f t="shared" si="4"/>
        <v>0</v>
      </c>
      <c r="AC30" s="32">
        <f t="shared" si="5"/>
        <v>0</v>
      </c>
      <c r="AD30" s="35" t="s">
        <v>2917</v>
      </c>
      <c r="AE30" s="5">
        <f t="shared" si="6"/>
        <v>0</v>
      </c>
      <c r="AF30" s="32">
        <f t="shared" si="7"/>
        <v>0</v>
      </c>
    </row>
    <row r="31" spans="4:35">
      <c r="U31" s="35" t="s">
        <v>2890</v>
      </c>
      <c r="V31" s="5">
        <f t="shared" si="0"/>
        <v>0</v>
      </c>
      <c r="W31" s="32">
        <f t="shared" si="1"/>
        <v>0</v>
      </c>
      <c r="X31" s="35" t="s">
        <v>2917</v>
      </c>
      <c r="Y31" s="5">
        <f t="shared" si="2"/>
        <v>0</v>
      </c>
      <c r="Z31" s="32">
        <f t="shared" si="3"/>
        <v>0</v>
      </c>
      <c r="AA31" s="35" t="s">
        <v>2900</v>
      </c>
      <c r="AB31" s="5">
        <f t="shared" si="4"/>
        <v>0</v>
      </c>
      <c r="AC31" s="32">
        <f t="shared" si="5"/>
        <v>0</v>
      </c>
      <c r="AD31" s="35" t="s">
        <v>2575</v>
      </c>
      <c r="AE31" s="5">
        <f t="shared" si="6"/>
        <v>0</v>
      </c>
      <c r="AF31" s="32">
        <f t="shared" si="7"/>
        <v>0</v>
      </c>
    </row>
    <row r="32" spans="4:35">
      <c r="U32" s="35" t="s">
        <v>2520</v>
      </c>
      <c r="V32" s="5">
        <f t="shared" si="0"/>
        <v>0</v>
      </c>
      <c r="W32" s="32">
        <f t="shared" si="1"/>
        <v>0</v>
      </c>
      <c r="X32" s="35" t="s">
        <v>2925</v>
      </c>
      <c r="Y32" s="5">
        <f t="shared" si="2"/>
        <v>0</v>
      </c>
      <c r="Z32" s="32">
        <f t="shared" si="3"/>
        <v>0</v>
      </c>
      <c r="AA32" s="35" t="s">
        <v>2903</v>
      </c>
      <c r="AB32" s="5">
        <f t="shared" si="4"/>
        <v>0</v>
      </c>
      <c r="AC32" s="32">
        <f t="shared" si="5"/>
        <v>0</v>
      </c>
      <c r="AD32" s="35" t="s">
        <v>2947</v>
      </c>
      <c r="AE32" s="5">
        <f t="shared" si="6"/>
        <v>0</v>
      </c>
      <c r="AF32" s="32">
        <f t="shared" si="7"/>
        <v>0</v>
      </c>
    </row>
    <row r="33" spans="21:32">
      <c r="U33" s="35" t="s">
        <v>2893</v>
      </c>
      <c r="V33" s="5">
        <f t="shared" si="0"/>
        <v>0</v>
      </c>
      <c r="W33" s="32">
        <f t="shared" si="1"/>
        <v>0</v>
      </c>
      <c r="X33" s="35" t="s">
        <v>2926</v>
      </c>
      <c r="Y33" s="5">
        <f t="shared" si="2"/>
        <v>0</v>
      </c>
      <c r="Z33" s="32">
        <f t="shared" si="3"/>
        <v>0</v>
      </c>
      <c r="AA33" s="35" t="s">
        <v>2904</v>
      </c>
      <c r="AB33" s="5">
        <f t="shared" si="4"/>
        <v>0</v>
      </c>
      <c r="AC33" s="32">
        <f t="shared" si="5"/>
        <v>0</v>
      </c>
      <c r="AD33" s="35" t="s">
        <v>2957</v>
      </c>
      <c r="AE33" s="5">
        <f t="shared" si="6"/>
        <v>0</v>
      </c>
      <c r="AF33" s="32">
        <f t="shared" si="7"/>
        <v>0</v>
      </c>
    </row>
    <row r="34" spans="21:32">
      <c r="U34" s="35" t="s">
        <v>2903</v>
      </c>
      <c r="V34" s="5">
        <f t="shared" ref="V34:V59" si="8">IF(bankcountry2=U34,1,0)</f>
        <v>0</v>
      </c>
      <c r="W34" s="32">
        <f t="shared" ref="W34:W59" si="9">IF(bankcountry2=U34,1,0)</f>
        <v>0</v>
      </c>
      <c r="X34" s="35" t="s">
        <v>2585</v>
      </c>
      <c r="Y34" s="5">
        <f t="shared" si="2"/>
        <v>0</v>
      </c>
      <c r="Z34" s="32">
        <f t="shared" ref="Z34:Z47" si="10">IF(bankcountry2=X34,1,0)</f>
        <v>0</v>
      </c>
      <c r="AA34" s="35" t="s">
        <v>2908</v>
      </c>
      <c r="AB34" s="5">
        <f t="shared" ref="AB34:AB62" si="11">IF(bankcountry2=AA34,1,0)</f>
        <v>0</v>
      </c>
      <c r="AC34" s="32">
        <f t="shared" ref="AC34:AC62" si="12">IF(bankcountry2=AA34,1,0)</f>
        <v>0</v>
      </c>
      <c r="AD34" s="35" t="s">
        <v>2958</v>
      </c>
      <c r="AE34" s="5">
        <f t="shared" si="6"/>
        <v>0</v>
      </c>
      <c r="AF34" s="32">
        <f t="shared" ref="AF34:AF45" si="13">IF(bankcountry2=AD34,1,0)</f>
        <v>0</v>
      </c>
    </row>
    <row r="35" spans="21:32">
      <c r="U35" s="35" t="s">
        <v>2908</v>
      </c>
      <c r="V35" s="5">
        <f t="shared" si="8"/>
        <v>0</v>
      </c>
      <c r="W35" s="32">
        <f t="shared" si="9"/>
        <v>0</v>
      </c>
      <c r="X35" s="35" t="s">
        <v>2947</v>
      </c>
      <c r="Y35" s="5">
        <f t="shared" si="2"/>
        <v>0</v>
      </c>
      <c r="Z35" s="32">
        <f t="shared" si="10"/>
        <v>0</v>
      </c>
      <c r="AA35" s="35" t="s">
        <v>2909</v>
      </c>
      <c r="AB35" s="5">
        <f t="shared" si="11"/>
        <v>0</v>
      </c>
      <c r="AC35" s="32">
        <f t="shared" si="12"/>
        <v>0</v>
      </c>
      <c r="AD35" s="35" t="s">
        <v>2961</v>
      </c>
      <c r="AE35" s="5">
        <f t="shared" si="6"/>
        <v>0</v>
      </c>
      <c r="AF35" s="32">
        <f t="shared" si="13"/>
        <v>0</v>
      </c>
    </row>
    <row r="36" spans="21:32">
      <c r="U36" s="35" t="s">
        <v>2909</v>
      </c>
      <c r="V36" s="5">
        <f t="shared" si="8"/>
        <v>0</v>
      </c>
      <c r="W36" s="32">
        <f t="shared" si="9"/>
        <v>0</v>
      </c>
      <c r="X36" s="35" t="s">
        <v>2957</v>
      </c>
      <c r="Y36" s="5">
        <f t="shared" si="2"/>
        <v>0</v>
      </c>
      <c r="Z36" s="32">
        <f t="shared" si="10"/>
        <v>0</v>
      </c>
      <c r="AA36" s="35" t="s">
        <v>2910</v>
      </c>
      <c r="AB36" s="5">
        <f t="shared" si="11"/>
        <v>0</v>
      </c>
      <c r="AC36" s="32">
        <f t="shared" si="12"/>
        <v>0</v>
      </c>
      <c r="AD36" s="35" t="s">
        <v>2963</v>
      </c>
      <c r="AE36" s="5">
        <f t="shared" si="6"/>
        <v>0</v>
      </c>
      <c r="AF36" s="32">
        <f t="shared" si="13"/>
        <v>0</v>
      </c>
    </row>
    <row r="37" spans="21:32">
      <c r="U37" s="35" t="s">
        <v>2910</v>
      </c>
      <c r="V37" s="5">
        <f t="shared" si="8"/>
        <v>0</v>
      </c>
      <c r="W37" s="32">
        <f t="shared" si="9"/>
        <v>0</v>
      </c>
      <c r="X37" s="35" t="s">
        <v>2958</v>
      </c>
      <c r="Y37" s="5">
        <f t="shared" si="2"/>
        <v>0</v>
      </c>
      <c r="Z37" s="32">
        <f t="shared" si="10"/>
        <v>0</v>
      </c>
      <c r="AA37" s="35" t="s">
        <v>2912</v>
      </c>
      <c r="AB37" s="5">
        <f t="shared" si="11"/>
        <v>0</v>
      </c>
      <c r="AC37" s="32">
        <f t="shared" si="12"/>
        <v>0</v>
      </c>
      <c r="AD37" s="35" t="s">
        <v>2980</v>
      </c>
      <c r="AE37" s="5">
        <f t="shared" si="6"/>
        <v>0</v>
      </c>
      <c r="AF37" s="32">
        <f t="shared" si="13"/>
        <v>0</v>
      </c>
    </row>
    <row r="38" spans="21:32">
      <c r="U38" s="35" t="s">
        <v>2912</v>
      </c>
      <c r="V38" s="5">
        <f t="shared" si="8"/>
        <v>0</v>
      </c>
      <c r="W38" s="32">
        <f t="shared" si="9"/>
        <v>0</v>
      </c>
      <c r="X38" s="35" t="s">
        <v>2963</v>
      </c>
      <c r="Y38" s="5">
        <f t="shared" si="2"/>
        <v>0</v>
      </c>
      <c r="Z38" s="32">
        <f t="shared" si="10"/>
        <v>0</v>
      </c>
      <c r="AA38" s="35" t="s">
        <v>2917</v>
      </c>
      <c r="AB38" s="5">
        <f t="shared" si="11"/>
        <v>0</v>
      </c>
      <c r="AC38" s="32">
        <f t="shared" si="12"/>
        <v>0</v>
      </c>
      <c r="AD38" s="35" t="s">
        <v>2985</v>
      </c>
      <c r="AE38" s="5">
        <f t="shared" si="6"/>
        <v>0</v>
      </c>
      <c r="AF38" s="32">
        <f t="shared" si="13"/>
        <v>0</v>
      </c>
    </row>
    <row r="39" spans="21:32">
      <c r="U39" s="35" t="s">
        <v>2917</v>
      </c>
      <c r="V39" s="5">
        <f t="shared" si="8"/>
        <v>0</v>
      </c>
      <c r="W39" s="32">
        <f t="shared" si="9"/>
        <v>0</v>
      </c>
      <c r="X39" s="35" t="s">
        <v>2615</v>
      </c>
      <c r="Y39" s="5">
        <f t="shared" si="2"/>
        <v>0</v>
      </c>
      <c r="Z39" s="32">
        <f t="shared" si="10"/>
        <v>0</v>
      </c>
      <c r="AA39" s="35" t="s">
        <v>2926</v>
      </c>
      <c r="AB39" s="5">
        <f t="shared" si="11"/>
        <v>0</v>
      </c>
      <c r="AC39" s="32">
        <f t="shared" si="12"/>
        <v>0</v>
      </c>
      <c r="AD39" s="35" t="s">
        <v>2986</v>
      </c>
      <c r="AE39" s="5">
        <f t="shared" si="6"/>
        <v>0</v>
      </c>
      <c r="AF39" s="32">
        <f t="shared" si="13"/>
        <v>0</v>
      </c>
    </row>
    <row r="40" spans="21:32">
      <c r="U40" s="35" t="s">
        <v>2925</v>
      </c>
      <c r="V40" s="5">
        <f t="shared" si="8"/>
        <v>0</v>
      </c>
      <c r="W40" s="32">
        <f t="shared" si="9"/>
        <v>0</v>
      </c>
      <c r="X40" s="35" t="s">
        <v>2985</v>
      </c>
      <c r="Y40" s="5">
        <f t="shared" si="2"/>
        <v>0</v>
      </c>
      <c r="Z40" s="32">
        <f t="shared" si="10"/>
        <v>0</v>
      </c>
      <c r="AA40" s="35" t="s">
        <v>2928</v>
      </c>
      <c r="AB40" s="5">
        <f t="shared" si="11"/>
        <v>0</v>
      </c>
      <c r="AC40" s="32">
        <f t="shared" si="12"/>
        <v>0</v>
      </c>
      <c r="AD40" s="35" t="s">
        <v>2991</v>
      </c>
      <c r="AE40" s="5">
        <f t="shared" si="6"/>
        <v>0</v>
      </c>
      <c r="AF40" s="32">
        <f t="shared" si="13"/>
        <v>0</v>
      </c>
    </row>
    <row r="41" spans="21:32">
      <c r="U41" s="35" t="s">
        <v>2926</v>
      </c>
      <c r="V41" s="5">
        <f t="shared" si="8"/>
        <v>0</v>
      </c>
      <c r="W41" s="32">
        <f t="shared" si="9"/>
        <v>0</v>
      </c>
      <c r="X41" s="35" t="s">
        <v>2986</v>
      </c>
      <c r="Y41" s="5">
        <f t="shared" si="2"/>
        <v>0</v>
      </c>
      <c r="Z41" s="32">
        <f t="shared" si="10"/>
        <v>0</v>
      </c>
      <c r="AA41" s="35" t="s">
        <v>2575</v>
      </c>
      <c r="AB41" s="5">
        <f t="shared" si="11"/>
        <v>0</v>
      </c>
      <c r="AC41" s="32">
        <f t="shared" si="12"/>
        <v>0</v>
      </c>
      <c r="AD41" s="35" t="s">
        <v>2635</v>
      </c>
      <c r="AE41" s="5">
        <f t="shared" si="6"/>
        <v>0</v>
      </c>
      <c r="AF41" s="32">
        <f t="shared" si="13"/>
        <v>0</v>
      </c>
    </row>
    <row r="42" spans="21:32">
      <c r="U42" s="35" t="s">
        <v>2928</v>
      </c>
      <c r="V42" s="5">
        <f t="shared" si="8"/>
        <v>0</v>
      </c>
      <c r="W42" s="32">
        <f t="shared" si="9"/>
        <v>0</v>
      </c>
      <c r="X42" s="35" t="s">
        <v>2293</v>
      </c>
      <c r="Y42" s="5">
        <f t="shared" si="2"/>
        <v>0</v>
      </c>
      <c r="Z42" s="32">
        <f t="shared" si="10"/>
        <v>0</v>
      </c>
      <c r="AA42" s="35" t="s">
        <v>2947</v>
      </c>
      <c r="AB42" s="5">
        <f t="shared" si="11"/>
        <v>0</v>
      </c>
      <c r="AC42" s="32">
        <f t="shared" si="12"/>
        <v>0</v>
      </c>
      <c r="AD42" s="35" t="s">
        <v>2642</v>
      </c>
      <c r="AE42" s="5">
        <f t="shared" si="6"/>
        <v>0</v>
      </c>
      <c r="AF42" s="32">
        <f t="shared" si="13"/>
        <v>0</v>
      </c>
    </row>
    <row r="43" spans="21:32">
      <c r="U43" s="35" t="s">
        <v>2585</v>
      </c>
      <c r="V43" s="5">
        <f t="shared" si="8"/>
        <v>0</v>
      </c>
      <c r="W43" s="32">
        <f t="shared" si="9"/>
        <v>0</v>
      </c>
      <c r="X43" s="35" t="s">
        <v>2991</v>
      </c>
      <c r="Y43" s="5">
        <f t="shared" si="2"/>
        <v>0</v>
      </c>
      <c r="Z43" s="32">
        <f t="shared" si="10"/>
        <v>0</v>
      </c>
      <c r="AA43" s="35" t="s">
        <v>2949</v>
      </c>
      <c r="AB43" s="5">
        <f t="shared" si="11"/>
        <v>0</v>
      </c>
      <c r="AC43" s="32">
        <f t="shared" si="12"/>
        <v>0</v>
      </c>
      <c r="AD43" s="35" t="s">
        <v>3016</v>
      </c>
      <c r="AE43" s="5">
        <f t="shared" si="6"/>
        <v>0</v>
      </c>
      <c r="AF43" s="32">
        <f t="shared" si="13"/>
        <v>0</v>
      </c>
    </row>
    <row r="44" spans="21:32">
      <c r="U44" s="35" t="s">
        <v>2947</v>
      </c>
      <c r="V44" s="5">
        <f t="shared" si="8"/>
        <v>0</v>
      </c>
      <c r="W44" s="32">
        <f t="shared" si="9"/>
        <v>0</v>
      </c>
      <c r="X44" s="35" t="s">
        <v>2635</v>
      </c>
      <c r="Y44" s="5">
        <f t="shared" si="2"/>
        <v>0</v>
      </c>
      <c r="Z44" s="32">
        <f t="shared" si="10"/>
        <v>0</v>
      </c>
      <c r="AA44" s="35" t="s">
        <v>2957</v>
      </c>
      <c r="AB44" s="5">
        <f t="shared" si="11"/>
        <v>0</v>
      </c>
      <c r="AC44" s="32">
        <f t="shared" si="12"/>
        <v>0</v>
      </c>
      <c r="AD44" s="35" t="s">
        <v>2650</v>
      </c>
      <c r="AE44" s="5">
        <f t="shared" si="6"/>
        <v>0</v>
      </c>
      <c r="AF44" s="32">
        <f t="shared" si="13"/>
        <v>0</v>
      </c>
    </row>
    <row r="45" spans="21:32">
      <c r="U45" s="35" t="s">
        <v>2957</v>
      </c>
      <c r="V45" s="5">
        <f t="shared" si="8"/>
        <v>0</v>
      </c>
      <c r="W45" s="32">
        <f t="shared" si="9"/>
        <v>0</v>
      </c>
      <c r="X45" s="35" t="s">
        <v>2642</v>
      </c>
      <c r="Y45" s="5">
        <f t="shared" si="2"/>
        <v>0</v>
      </c>
      <c r="Z45" s="32">
        <f t="shared" si="10"/>
        <v>0</v>
      </c>
      <c r="AA45" s="35" t="s">
        <v>2958</v>
      </c>
      <c r="AB45" s="5">
        <f t="shared" si="11"/>
        <v>0</v>
      </c>
      <c r="AC45" s="32">
        <f t="shared" si="12"/>
        <v>0</v>
      </c>
      <c r="AD45" s="35" t="s">
        <v>12</v>
      </c>
      <c r="AE45" s="5">
        <f t="shared" si="6"/>
        <v>1</v>
      </c>
      <c r="AF45" s="32">
        <f t="shared" si="13"/>
        <v>1</v>
      </c>
    </row>
    <row r="46" spans="21:32">
      <c r="U46" s="35" t="s">
        <v>2958</v>
      </c>
      <c r="V46" s="5">
        <f t="shared" si="8"/>
        <v>0</v>
      </c>
      <c r="W46" s="32">
        <f t="shared" si="9"/>
        <v>0</v>
      </c>
      <c r="X46" s="35" t="s">
        <v>2650</v>
      </c>
      <c r="Y46" s="5">
        <f t="shared" si="2"/>
        <v>0</v>
      </c>
      <c r="Z46" s="32">
        <f t="shared" si="10"/>
        <v>0</v>
      </c>
      <c r="AA46" s="35" t="s">
        <v>2961</v>
      </c>
      <c r="AB46" s="5">
        <f t="shared" si="11"/>
        <v>0</v>
      </c>
      <c r="AC46" s="32">
        <f t="shared" si="12"/>
        <v>0</v>
      </c>
      <c r="AD46" s="35"/>
      <c r="AF46" s="32"/>
    </row>
    <row r="47" spans="21:32">
      <c r="U47" s="35" t="s">
        <v>2963</v>
      </c>
      <c r="V47" s="5">
        <f t="shared" si="8"/>
        <v>0</v>
      </c>
      <c r="W47" s="32">
        <f t="shared" si="9"/>
        <v>0</v>
      </c>
      <c r="X47" s="35" t="s">
        <v>12</v>
      </c>
      <c r="Y47" s="5">
        <f t="shared" si="2"/>
        <v>1</v>
      </c>
      <c r="Z47" s="32">
        <f t="shared" si="10"/>
        <v>1</v>
      </c>
      <c r="AA47" s="35" t="s">
        <v>2963</v>
      </c>
      <c r="AB47" s="5">
        <f t="shared" si="11"/>
        <v>0</v>
      </c>
      <c r="AC47" s="32">
        <f t="shared" si="12"/>
        <v>0</v>
      </c>
      <c r="AD47" s="35"/>
      <c r="AF47" s="32"/>
    </row>
    <row r="48" spans="21:32">
      <c r="U48" s="35" t="s">
        <v>2977</v>
      </c>
      <c r="V48" s="5">
        <f t="shared" si="8"/>
        <v>0</v>
      </c>
      <c r="W48" s="32">
        <f t="shared" si="9"/>
        <v>0</v>
      </c>
      <c r="X48" s="35"/>
      <c r="Z48" s="32"/>
      <c r="AA48" s="35" t="s">
        <v>2977</v>
      </c>
      <c r="AB48" s="5">
        <f t="shared" si="11"/>
        <v>0</v>
      </c>
      <c r="AC48" s="32">
        <f t="shared" si="12"/>
        <v>0</v>
      </c>
      <c r="AD48" s="35"/>
      <c r="AF48" s="32"/>
    </row>
    <row r="49" spans="21:32">
      <c r="U49" s="35" t="s">
        <v>2982</v>
      </c>
      <c r="V49" s="5">
        <f t="shared" si="8"/>
        <v>0</v>
      </c>
      <c r="W49" s="32">
        <f t="shared" si="9"/>
        <v>0</v>
      </c>
      <c r="X49" s="35"/>
      <c r="Z49" s="32"/>
      <c r="AA49" s="35" t="s">
        <v>2980</v>
      </c>
      <c r="AB49" s="5">
        <f t="shared" si="11"/>
        <v>0</v>
      </c>
      <c r="AC49" s="32">
        <f t="shared" si="12"/>
        <v>0</v>
      </c>
      <c r="AD49" s="35"/>
      <c r="AF49" s="32"/>
    </row>
    <row r="50" spans="21:32">
      <c r="U50" s="35" t="s">
        <v>2615</v>
      </c>
      <c r="V50" s="5">
        <f t="shared" si="8"/>
        <v>0</v>
      </c>
      <c r="W50" s="32">
        <f t="shared" si="9"/>
        <v>0</v>
      </c>
      <c r="X50" s="35"/>
      <c r="Z50" s="32"/>
      <c r="AA50" s="35" t="s">
        <v>2985</v>
      </c>
      <c r="AB50" s="5">
        <f t="shared" si="11"/>
        <v>0</v>
      </c>
      <c r="AC50" s="32">
        <f t="shared" si="12"/>
        <v>0</v>
      </c>
      <c r="AD50" s="35"/>
      <c r="AF50" s="32"/>
    </row>
    <row r="51" spans="21:32">
      <c r="U51" s="35" t="s">
        <v>2985</v>
      </c>
      <c r="V51" s="5">
        <f t="shared" si="8"/>
        <v>0</v>
      </c>
      <c r="W51" s="32">
        <f t="shared" si="9"/>
        <v>0</v>
      </c>
      <c r="X51" s="35"/>
      <c r="Z51" s="32"/>
      <c r="AA51" s="35" t="s">
        <v>2986</v>
      </c>
      <c r="AB51" s="5">
        <f t="shared" si="11"/>
        <v>0</v>
      </c>
      <c r="AC51" s="32">
        <f t="shared" si="12"/>
        <v>0</v>
      </c>
      <c r="AD51" s="35"/>
      <c r="AF51" s="32"/>
    </row>
    <row r="52" spans="21:32">
      <c r="U52" s="35" t="s">
        <v>2986</v>
      </c>
      <c r="V52" s="5">
        <f t="shared" si="8"/>
        <v>0</v>
      </c>
      <c r="W52" s="32">
        <f t="shared" si="9"/>
        <v>0</v>
      </c>
      <c r="X52" s="35"/>
      <c r="Z52" s="32"/>
      <c r="AA52" s="35" t="s">
        <v>2991</v>
      </c>
      <c r="AB52" s="5">
        <f t="shared" si="11"/>
        <v>0</v>
      </c>
      <c r="AC52" s="32">
        <f t="shared" si="12"/>
        <v>0</v>
      </c>
      <c r="AD52" s="35"/>
      <c r="AF52" s="32"/>
    </row>
    <row r="53" spans="21:32">
      <c r="U53" s="35" t="s">
        <v>2293</v>
      </c>
      <c r="V53" s="5">
        <f t="shared" si="8"/>
        <v>0</v>
      </c>
      <c r="W53" s="32">
        <f t="shared" si="9"/>
        <v>0</v>
      </c>
      <c r="X53" s="35"/>
      <c r="Z53" s="32"/>
      <c r="AA53" s="35" t="s">
        <v>2635</v>
      </c>
      <c r="AB53" s="5">
        <f t="shared" si="11"/>
        <v>0</v>
      </c>
      <c r="AC53" s="32">
        <f t="shared" si="12"/>
        <v>0</v>
      </c>
      <c r="AD53" s="35"/>
      <c r="AF53" s="32"/>
    </row>
    <row r="54" spans="21:32">
      <c r="U54" s="35" t="s">
        <v>2991</v>
      </c>
      <c r="V54" s="5">
        <f t="shared" si="8"/>
        <v>0</v>
      </c>
      <c r="W54" s="32">
        <f t="shared" si="9"/>
        <v>0</v>
      </c>
      <c r="X54" s="35"/>
      <c r="Z54" s="32"/>
      <c r="AA54" s="35" t="s">
        <v>2642</v>
      </c>
      <c r="AB54" s="5">
        <f t="shared" si="11"/>
        <v>0</v>
      </c>
      <c r="AC54" s="32">
        <f t="shared" si="12"/>
        <v>0</v>
      </c>
      <c r="AD54" s="35"/>
      <c r="AF54" s="32"/>
    </row>
    <row r="55" spans="21:32">
      <c r="U55" s="35" t="s">
        <v>2635</v>
      </c>
      <c r="V55" s="5">
        <f t="shared" si="8"/>
        <v>0</v>
      </c>
      <c r="W55" s="32">
        <f t="shared" si="9"/>
        <v>0</v>
      </c>
      <c r="X55" s="35"/>
      <c r="Z55" s="32"/>
      <c r="AA55" s="35" t="s">
        <v>3002</v>
      </c>
      <c r="AB55" s="5">
        <f t="shared" si="11"/>
        <v>0</v>
      </c>
      <c r="AC55" s="32">
        <f t="shared" si="12"/>
        <v>0</v>
      </c>
      <c r="AD55" s="35"/>
      <c r="AF55" s="32"/>
    </row>
    <row r="56" spans="21:32">
      <c r="U56" s="35" t="s">
        <v>2642</v>
      </c>
      <c r="V56" s="5">
        <f t="shared" si="8"/>
        <v>0</v>
      </c>
      <c r="W56" s="32">
        <f t="shared" si="9"/>
        <v>0</v>
      </c>
      <c r="X56" s="35"/>
      <c r="Z56" s="32"/>
      <c r="AA56" s="35" t="s">
        <v>3008</v>
      </c>
      <c r="AB56" s="5">
        <f t="shared" si="11"/>
        <v>0</v>
      </c>
      <c r="AC56" s="32">
        <f t="shared" si="12"/>
        <v>0</v>
      </c>
      <c r="AD56" s="35"/>
      <c r="AF56" s="32"/>
    </row>
    <row r="57" spans="21:32">
      <c r="U57" s="35" t="s">
        <v>3015</v>
      </c>
      <c r="V57" s="5">
        <f t="shared" si="8"/>
        <v>0</v>
      </c>
      <c r="W57" s="32">
        <f t="shared" si="9"/>
        <v>0</v>
      </c>
      <c r="X57" s="35"/>
      <c r="Z57" s="32"/>
      <c r="AA57" s="35" t="s">
        <v>3009</v>
      </c>
      <c r="AB57" s="5">
        <f t="shared" si="11"/>
        <v>0</v>
      </c>
      <c r="AC57" s="32">
        <f t="shared" si="12"/>
        <v>0</v>
      </c>
      <c r="AD57" s="35"/>
      <c r="AF57" s="32"/>
    </row>
    <row r="58" spans="21:32">
      <c r="U58" s="35" t="s">
        <v>2650</v>
      </c>
      <c r="V58" s="5">
        <f t="shared" si="8"/>
        <v>0</v>
      </c>
      <c r="W58" s="32">
        <f t="shared" si="9"/>
        <v>0</v>
      </c>
      <c r="X58" s="35"/>
      <c r="Z58" s="32"/>
      <c r="AA58" s="35" t="s">
        <v>3015</v>
      </c>
      <c r="AB58" s="5">
        <f t="shared" si="11"/>
        <v>0</v>
      </c>
      <c r="AC58" s="32">
        <f t="shared" si="12"/>
        <v>0</v>
      </c>
      <c r="AD58" s="35"/>
      <c r="AF58" s="32"/>
    </row>
    <row r="59" spans="21:32">
      <c r="U59" s="35" t="s">
        <v>12</v>
      </c>
      <c r="V59" s="5">
        <f t="shared" si="8"/>
        <v>1</v>
      </c>
      <c r="W59" s="32">
        <f t="shared" si="9"/>
        <v>1</v>
      </c>
      <c r="X59" s="35"/>
      <c r="Z59" s="33"/>
      <c r="AA59" s="35" t="s">
        <v>3016</v>
      </c>
      <c r="AB59" s="5">
        <f t="shared" si="11"/>
        <v>0</v>
      </c>
      <c r="AC59" s="32">
        <f t="shared" si="12"/>
        <v>0</v>
      </c>
      <c r="AD59" s="35"/>
      <c r="AF59" s="32"/>
    </row>
    <row r="60" spans="21:32">
      <c r="AA60" s="35" t="s">
        <v>2650</v>
      </c>
      <c r="AB60" s="5">
        <f t="shared" si="11"/>
        <v>0</v>
      </c>
      <c r="AC60" s="32">
        <f t="shared" si="12"/>
        <v>0</v>
      </c>
      <c r="AD60" s="35"/>
      <c r="AF60" s="32"/>
    </row>
    <row r="61" spans="21:32">
      <c r="AA61" s="35" t="s">
        <v>3028</v>
      </c>
      <c r="AB61" s="5">
        <f t="shared" si="11"/>
        <v>0</v>
      </c>
      <c r="AC61" s="32">
        <f t="shared" si="12"/>
        <v>0</v>
      </c>
      <c r="AD61" s="35"/>
      <c r="AF61" s="32"/>
    </row>
    <row r="62" spans="21:32">
      <c r="AA62" s="35" t="s">
        <v>12</v>
      </c>
      <c r="AB62" s="5">
        <f t="shared" si="11"/>
        <v>1</v>
      </c>
      <c r="AC62" s="32">
        <f t="shared" si="12"/>
        <v>1</v>
      </c>
      <c r="AD62" s="35"/>
      <c r="AF62" s="32"/>
    </row>
  </sheetData>
  <sheetProtection algorithmName="SHA-512" hashValue="LXzXrLESs7H/jLaThtzP0ispwPkyE7beHJr8EzoxYqaN8N7usS2xNmZNRS9/2tUoKkhOw0jCr34DnE2n/W9Bzw==" saltValue="qvIrVSE4exDhHezVAKBOYw==" spinCount="100000" sheet="1" objects="1" scenarios="1"/>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7C964-57C2-47EB-B7F6-129E4C155497}">
  <sheetPr codeName="Sheet41"/>
  <dimension ref="A1:D23"/>
  <sheetViews>
    <sheetView workbookViewId="0">
      <selection activeCell="A20" sqref="A20"/>
    </sheetView>
  </sheetViews>
  <sheetFormatPr baseColWidth="10" defaultColWidth="8.6640625" defaultRowHeight="14.4"/>
  <cols>
    <col min="1" max="1" width="21.109375" bestFit="1" customWidth="1"/>
    <col min="2" max="2" width="16.44140625" bestFit="1" customWidth="1"/>
    <col min="4" max="4" width="23.88671875" bestFit="1" customWidth="1"/>
    <col min="5" max="5" width="16.88671875" bestFit="1" customWidth="1"/>
    <col min="6" max="6" width="48.109375" bestFit="1" customWidth="1"/>
  </cols>
  <sheetData>
    <row r="1" spans="1:4">
      <c r="A1" s="669" t="s">
        <v>3059</v>
      </c>
      <c r="B1" s="669"/>
      <c r="D1" s="7"/>
    </row>
    <row r="3" spans="1:4">
      <c r="A3" t="s">
        <v>3060</v>
      </c>
      <c r="B3" t="str">
        <f>IF(Conditions!C3=1,"coindfr",IF(Conditions!C4=1,"coind","blank"))</f>
        <v>blank</v>
      </c>
    </row>
    <row r="4" spans="1:4">
      <c r="A4" t="s">
        <v>3061</v>
      </c>
      <c r="B4" t="str">
        <f>IF(suppaytype="Freelancer/Independent Contractor","iclocation","blank")</f>
        <v>blank</v>
      </c>
    </row>
    <row r="5" spans="1:4">
      <c r="A5" t="s">
        <v>3062</v>
      </c>
      <c r="B5" t="e">
        <f>IF(Form!#REF!="Within the United States","icspend","blank")</f>
        <v>#REF!</v>
      </c>
    </row>
    <row r="6" spans="1:4">
      <c r="A6" t="s">
        <v>3063</v>
      </c>
      <c r="B6" t="str">
        <f>IF(Form!H27="600 USD or Greater","yesno","blank")</f>
        <v>blank</v>
      </c>
    </row>
    <row r="7" spans="1:4">
      <c r="A7" t="s">
        <v>3064</v>
      </c>
      <c r="B7" t="str">
        <f>IF(suppaytype="Book Royalties to be paid via Alliant","ledgerlistroy",IF(suppaytype="Book Royalties to be paid Outside of Alliant: Munich","ledgerlistroymun",IF(suppaytype="Book Royalties to be paid Outside of Alliant: India","ledgerlistroyindia",IF(OR(suppaytype="Book Royalties to be paid Outside of Alliant: Knovel",suppaytype="Book Royalties to be paid Outside of Alliant: Performance Solutions",suppaytype="Book Royalties to be paid Outside of Alliant: Geofacets"),"ledgerlistroyusa","ledgerlist"))))</f>
        <v>ledgerlist</v>
      </c>
    </row>
    <row r="8" spans="1:4">
      <c r="A8" t="s">
        <v>3065</v>
      </c>
      <c r="B8" t="str">
        <f>IF(Form!B64&gt;"","iclocation","blank")</f>
        <v>blank</v>
      </c>
    </row>
    <row r="9" spans="1:4">
      <c r="A9" t="s">
        <v>3066</v>
      </c>
      <c r="B9" t="str">
        <f>IF(Form!B66&gt;"","frankfurtsvc","blank")</f>
        <v>blank</v>
      </c>
    </row>
    <row r="10" spans="1:4">
      <c r="A10" t="s">
        <v>3067</v>
      </c>
      <c r="B10" t="str">
        <f>IF(country="Canada","canadaprov",IF(country="Spain","spainprov","blank"))</f>
        <v>blank</v>
      </c>
    </row>
    <row r="11" spans="1:4">
      <c r="A11" t="s">
        <v>3068</v>
      </c>
      <c r="B11" t="str">
        <f>IF(Form!A112="*","munichvat","blank")</f>
        <v>blank</v>
      </c>
    </row>
    <row r="12" spans="1:4">
      <c r="A12" t="s">
        <v>3069</v>
      </c>
      <c r="B12" t="e">
        <f>IF(AND(Form!#REF!&gt;"",Languages!E1="German"),"nyger","yesno")</f>
        <v>#REF!</v>
      </c>
    </row>
    <row r="13" spans="1:4">
      <c r="A13" t="s">
        <v>3070</v>
      </c>
      <c r="B13" t="str">
        <f>IF(Form!B121&gt;"","HSTYN","blank")</f>
        <v>blank</v>
      </c>
    </row>
    <row r="14" spans="1:4">
      <c r="A14" t="s">
        <v>3071</v>
      </c>
      <c r="B14" t="str">
        <f>IF(Form!B121&gt;"","GSTYN","blank")</f>
        <v>blank</v>
      </c>
    </row>
    <row r="15" spans="1:4">
      <c r="A15" t="s">
        <v>3072</v>
      </c>
      <c r="B15" t="str">
        <f>IF(Form!B121&gt;"","QSTYN","blank")</f>
        <v>blank</v>
      </c>
    </row>
    <row r="16" spans="1:4">
      <c r="A16" t="s">
        <v>3073</v>
      </c>
      <c r="B16" t="str">
        <f>IF(Form!B126&gt;"","frsvctype","blank")</f>
        <v>blank</v>
      </c>
    </row>
    <row r="17" spans="1:2">
      <c r="A17" t="s">
        <v>3074</v>
      </c>
      <c r="B17" t="e">
        <f>IF(Form!#REF!&gt;"","yesno","blank")</f>
        <v>#REF!</v>
      </c>
    </row>
    <row r="18" spans="1:2">
      <c r="A18" t="s">
        <v>3075</v>
      </c>
      <c r="B18" t="str">
        <f>IF(Form!A134="*","yesno","blank")</f>
        <v>blank</v>
      </c>
    </row>
    <row r="19" spans="1:2">
      <c r="A19" t="s">
        <v>3076</v>
      </c>
      <c r="B19" t="e">
        <f>IF(Form!#REF!&gt;"","yesno","blank")</f>
        <v>#REF!</v>
      </c>
    </row>
    <row r="20" spans="1:2">
      <c r="A20" t="s">
        <v>3077</v>
      </c>
      <c r="B20" t="e">
        <f>IF(Form!#REF!&gt;"","yesno","blank")</f>
        <v>#REF!</v>
      </c>
    </row>
    <row r="21" spans="1:2">
      <c r="A21" t="s">
        <v>3078</v>
      </c>
      <c r="B21" t="str">
        <f>IF(AND(Conditions!O2&gt;"",OR(Form!G142="Other",Form!G142="Inny",Form!G142="Autre",Form!G142="Otro",Form!G142="Niemiecki")),Conditions!O2,"blank")</f>
        <v>blank</v>
      </c>
    </row>
    <row r="22" spans="1:2">
      <c r="A22" t="s">
        <v>3079</v>
      </c>
      <c r="B22" t="str">
        <f>IF(Form!B162&gt;"","accounttype","blank")</f>
        <v>blank</v>
      </c>
    </row>
    <row r="23" spans="1:2">
      <c r="A23" t="s">
        <v>3080</v>
      </c>
      <c r="B23" t="str">
        <f>IF(Form!H162&gt;"","accounttype","blank")</f>
        <v>blank</v>
      </c>
    </row>
  </sheetData>
  <mergeCells count="1">
    <mergeCell ref="A1:B1"/>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BEF9E-3A3B-4726-95A2-B26B5AEC9314}">
  <sheetPr codeName="Sheet6"/>
  <dimension ref="A1:K170"/>
  <sheetViews>
    <sheetView workbookViewId="0">
      <selection activeCell="F3" sqref="F3"/>
    </sheetView>
  </sheetViews>
  <sheetFormatPr baseColWidth="10" defaultColWidth="8.6640625" defaultRowHeight="14.4"/>
  <cols>
    <col min="1" max="1" width="45.88671875" customWidth="1"/>
    <col min="2" max="2" width="30.5546875" customWidth="1"/>
    <col min="3" max="3" width="17.5546875" customWidth="1"/>
    <col min="4" max="4" width="14.44140625" bestFit="1" customWidth="1"/>
    <col min="5" max="5" width="14.44140625" customWidth="1"/>
    <col min="6" max="6" width="33.109375" customWidth="1"/>
    <col min="7" max="7" width="45.33203125" bestFit="1" customWidth="1"/>
    <col min="8" max="11" width="9.6640625" customWidth="1"/>
  </cols>
  <sheetData>
    <row r="1" spans="1:11">
      <c r="A1" s="38" t="s">
        <v>3081</v>
      </c>
      <c r="B1" s="39" t="str">
        <f>suppaytype</f>
        <v>Select One…</v>
      </c>
      <c r="C1" s="39"/>
      <c r="D1" s="40" t="str">
        <f>CONCATENATE(D2,D3,D4,D5,D6,D7,D8,D9,D10,D11,D12,D13,D14,D33,D15,D16,D17,D18,D19,D20,D21,D22,D23,D34,D24,D25,D26,D27,D28,D29,D30)</f>
        <v/>
      </c>
      <c r="E1" s="40" t="str">
        <f>CONCATENATE(E2,E3,E4,E5,E6,E7,E8,E9,E10,E11,E12,E13,E14,E33,E15,E16,E17,E18,E19,E20,E21,E22,E23,E34,E24,E25,E26,E27,E28,E29,E30)</f>
        <v/>
      </c>
      <c r="F1" s="40" t="str">
        <f>CONCATENATE(F2,F3,F4,F5,F6,F7,F8,F9,F10,F11,F12,F13,F14,F33,F15,F16,F17,F18,F19,F20,F21,F22,F23,F34,F24,F25,F26,F27,F28,F29,F30)</f>
        <v>Net 30</v>
      </c>
      <c r="G1" s="195" t="str">
        <f>CONCATENATE(G2,G3,G4)</f>
        <v/>
      </c>
      <c r="H1" s="194"/>
      <c r="I1" s="43"/>
      <c r="K1" s="7"/>
    </row>
    <row r="2" spans="1:11">
      <c r="A2" s="103" t="str">
        <f>Languages!L127</f>
        <v>Editors &amp; Authors</v>
      </c>
      <c r="B2" s="41" t="s">
        <v>2517</v>
      </c>
      <c r="C2" s="41" t="s">
        <v>3082</v>
      </c>
      <c r="D2" s="113" t="str">
        <f>IF(AND($B$1=A2,Conditions!E17&gt;0),B5,"")</f>
        <v/>
      </c>
      <c r="E2" s="113" t="str" cm="1">
        <f t="array" ref="E2">IF(OR('LN France Form'!country=A44:A71),B10,"")</f>
        <v/>
      </c>
      <c r="F2" s="113" t="str" cm="1">
        <f t="array" ref="F2">IF(OR('LN Austria Germany Form'!country=A44:A71),B10,"")</f>
        <v>Net 30</v>
      </c>
      <c r="G2" s="196" t="str">
        <f>IF(AND(Form!I107=blank,taxcountry="Australia"),"No ABN - enter withholding","")</f>
        <v/>
      </c>
      <c r="H2" s="3"/>
    </row>
    <row r="3" spans="1:11">
      <c r="A3" s="103" t="str">
        <f>Languages!L129</f>
        <v>Customer Refund</v>
      </c>
      <c r="B3" s="41" t="s">
        <v>2528</v>
      </c>
      <c r="C3" s="41" t="s">
        <v>3083</v>
      </c>
      <c r="D3" s="113" t="str">
        <f>IF($B$1=A3,B2,"")</f>
        <v/>
      </c>
      <c r="E3" s="113"/>
      <c r="F3" s="113"/>
      <c r="G3" s="196" t="str">
        <f>IF(AND(Form!I107=blank,taxcountry="New Zealand"),"Refer to IR 330 form for withholding information.","")</f>
        <v/>
      </c>
      <c r="H3" s="3"/>
    </row>
    <row r="4" spans="1:11">
      <c r="A4" s="103" t="str">
        <f>Languages!L131</f>
        <v>Employee</v>
      </c>
      <c r="B4" s="41" t="s">
        <v>2540</v>
      </c>
      <c r="C4" s="41" t="s">
        <v>3084</v>
      </c>
      <c r="D4" s="113" t="str">
        <f>IF($B$1=A4,B2,"")</f>
        <v/>
      </c>
      <c r="E4" s="113"/>
      <c r="F4" s="113"/>
      <c r="G4" s="42"/>
      <c r="H4" s="3"/>
    </row>
    <row r="5" spans="1:11">
      <c r="A5" s="103" t="str">
        <f>Languages!L132</f>
        <v>Freelancers</v>
      </c>
      <c r="B5" s="41" t="s">
        <v>2551</v>
      </c>
      <c r="C5" s="41" t="s">
        <v>3085</v>
      </c>
      <c r="D5" s="113" t="str">
        <f>IF(AND($B$1=A5,Conditions!E3=0,Conditions!E12=0,Conditions!E21=0),B6,"")</f>
        <v/>
      </c>
      <c r="E5" s="113"/>
      <c r="F5" s="113"/>
      <c r="G5" s="3"/>
      <c r="H5" s="3"/>
    </row>
    <row r="6" spans="1:11">
      <c r="A6" s="103" t="str">
        <f>Languages!L135</f>
        <v>Supplier</v>
      </c>
      <c r="B6" s="41" t="s">
        <v>3086</v>
      </c>
      <c r="C6" s="41" t="s">
        <v>3087</v>
      </c>
      <c r="D6" s="113" t="str" cm="1">
        <f t="array" ref="D6">IF(OR(country=A44:A71),B10,"")</f>
        <v/>
      </c>
      <c r="E6" s="113"/>
      <c r="F6" s="113"/>
      <c r="G6" s="3"/>
      <c r="H6" s="3"/>
    </row>
    <row r="7" spans="1:11">
      <c r="A7" s="103" t="str">
        <f>Languages!L136</f>
        <v>Rent / Lease</v>
      </c>
      <c r="B7" s="41" t="s">
        <v>2572</v>
      </c>
      <c r="C7" s="41" t="s">
        <v>3088</v>
      </c>
      <c r="D7" s="113" t="str">
        <f>IF(AND($B$1=A8,Conditions!E17&gt;0),B3,"")</f>
        <v/>
      </c>
      <c r="E7" s="113"/>
      <c r="F7" s="113"/>
      <c r="G7" s="3"/>
      <c r="H7" s="3"/>
    </row>
    <row r="8" spans="1:11">
      <c r="A8" s="103" t="str">
        <f>Languages!L137</f>
        <v>Royalties</v>
      </c>
      <c r="B8" s="41" t="s">
        <v>3089</v>
      </c>
      <c r="C8" s="41" t="s">
        <v>3090</v>
      </c>
      <c r="D8" s="113" t="str">
        <f>IF($B$1=A9,B2,"")</f>
        <v/>
      </c>
      <c r="E8" s="113"/>
      <c r="F8" s="113"/>
      <c r="G8" s="3"/>
      <c r="H8" s="3"/>
    </row>
    <row r="9" spans="1:11">
      <c r="A9" s="103" t="str">
        <f>Languages!L140</f>
        <v>Tax Authority</v>
      </c>
      <c r="B9" s="41" t="s">
        <v>2486</v>
      </c>
      <c r="C9" s="41" t="s">
        <v>3091</v>
      </c>
      <c r="D9" s="113" t="str">
        <f>IF(AND($B$1=A5,Conditions!E3&gt;0,Conditions!E21=0),B4,"")</f>
        <v/>
      </c>
      <c r="E9" s="113"/>
      <c r="F9" s="113"/>
      <c r="G9" s="3"/>
      <c r="H9" s="3"/>
    </row>
    <row r="10" spans="1:11">
      <c r="A10" s="183" t="str">
        <f>Languages!L141</f>
        <v>Utilities</v>
      </c>
      <c r="B10" s="41" t="s">
        <v>2562</v>
      </c>
      <c r="C10" s="41" t="s">
        <v>3092</v>
      </c>
      <c r="D10" s="113" t="str">
        <f>IF(AND($B$1=A2,Conditions!E18&gt;0),B3,"")</f>
        <v/>
      </c>
      <c r="E10" s="113"/>
      <c r="F10" s="113"/>
      <c r="G10" s="3"/>
      <c r="H10" s="3"/>
    </row>
    <row r="11" spans="1:11">
      <c r="A11" s="183" t="str">
        <f>Languages!L128</f>
        <v>Commissions</v>
      </c>
      <c r="C11" s="41" t="s">
        <v>3093</v>
      </c>
      <c r="D11" s="113" t="str">
        <f>IF(AND($B$1=A8,Conditions!E18&gt;0),B5,"")</f>
        <v/>
      </c>
      <c r="E11" s="113"/>
      <c r="F11" s="113"/>
      <c r="G11" s="3"/>
      <c r="H11" s="3"/>
    </row>
    <row r="12" spans="1:11">
      <c r="A12" s="183" t="str">
        <f>Languages!L130</f>
        <v>eCrash</v>
      </c>
      <c r="C12" s="41" t="s">
        <v>3088</v>
      </c>
      <c r="D12" s="113" t="str">
        <f>IF(AND($B$1=A2,Conditions!E12&gt;0,),B6,"")</f>
        <v/>
      </c>
      <c r="E12" s="113"/>
      <c r="F12" s="113"/>
      <c r="G12" s="3"/>
      <c r="H12" s="3"/>
    </row>
    <row r="13" spans="1:11">
      <c r="A13" s="183" t="str">
        <f>Languages!L133</f>
        <v>Legal Services / Settlement</v>
      </c>
      <c r="B13" s="41"/>
      <c r="C13" s="41" t="s">
        <v>3094</v>
      </c>
      <c r="D13" s="113" t="str">
        <f>IF(AND($B$1=A2,Conditions!E22&gt;0,Form!E21=A26),B8,"")</f>
        <v/>
      </c>
      <c r="E13" s="113"/>
      <c r="F13" s="113"/>
      <c r="G13" s="3"/>
      <c r="H13" s="3"/>
    </row>
    <row r="14" spans="1:11">
      <c r="A14" s="183" t="str">
        <f>Languages!L139</f>
        <v>Royalty Free Licensor</v>
      </c>
      <c r="C14" s="41" t="s">
        <v>3095</v>
      </c>
      <c r="D14" s="113" t="str">
        <f>IF(AND($B$1=A2,Conditions!E22&gt;0,Form!F24=A32),B2,"")</f>
        <v/>
      </c>
      <c r="E14" s="113"/>
      <c r="F14" s="113"/>
      <c r="G14" s="3"/>
      <c r="H14" s="3"/>
    </row>
    <row r="15" spans="1:11">
      <c r="A15" s="102" t="str">
        <f>Languages!L134</f>
        <v>Micro Small and Medium Enterprise - for India only</v>
      </c>
      <c r="C15" s="41" t="s">
        <v>3096</v>
      </c>
      <c r="D15" s="113" t="str">
        <f>IF($B$1=A10,B2,"")</f>
        <v/>
      </c>
      <c r="E15" s="113"/>
      <c r="F15" s="113"/>
      <c r="G15" s="3"/>
      <c r="H15" s="3"/>
      <c r="I15" t="str">
        <f>IF(AND(suppaytype="Freelancer/Independent Contractor",Conditions!E29&gt;0,usinout="Within the United States",taxcountry="United States"),J15,"")</f>
        <v/>
      </c>
    </row>
    <row r="16" spans="1:11">
      <c r="C16" s="41" t="s">
        <v>3097</v>
      </c>
      <c r="D16" s="113" t="str">
        <f>IF($B$1=A7,B2,"")</f>
        <v/>
      </c>
      <c r="E16" s="113"/>
      <c r="F16" s="113"/>
      <c r="G16" s="3"/>
      <c r="H16" s="3"/>
      <c r="I16" t="str">
        <f>IF(AND(suppaytype="Freelancer/Independent Contractor",Conditions!E29&gt;0,usinout="Within the United States",taxcountry&lt;&gt;"United States",itinfield=""),J16,"")</f>
        <v/>
      </c>
    </row>
    <row r="17" spans="1:9">
      <c r="C17" s="41" t="s">
        <v>3098</v>
      </c>
      <c r="D17" s="113" t="str">
        <f>IF($B$1=A11,B2,"")</f>
        <v/>
      </c>
      <c r="E17" s="113"/>
      <c r="F17" s="113"/>
      <c r="G17" s="3"/>
      <c r="H17" s="3"/>
      <c r="I17" t="str">
        <f>IF(AND(suppaytype="Freelancer/Independent Contractor",Conditions!E29&gt;0,usinout="Within the United States",taxcountry&lt;&gt;"United States",itinfield&gt;""),J17,"")</f>
        <v/>
      </c>
    </row>
    <row r="18" spans="1:9">
      <c r="A18" t="s">
        <v>3099</v>
      </c>
      <c r="D18" s="113" t="str">
        <f>IF($B$1=A12,B2,"")</f>
        <v/>
      </c>
      <c r="E18" s="113"/>
      <c r="F18" s="113"/>
      <c r="G18" s="3"/>
      <c r="H18" s="3"/>
      <c r="I18" t="str">
        <f>IF(AND(suppaytype="Freelancer/Independent Contractor",Conditions!E29&gt;0,usinout="Outside the United States",taxcountry&lt;&gt;"United States"),J18,"")</f>
        <v/>
      </c>
    </row>
    <row r="19" spans="1:9">
      <c r="A19" s="184" t="str">
        <f>Languages!L153</f>
        <v>Canada Online Royalty</v>
      </c>
      <c r="D19" s="113" t="str">
        <f>IF(AND($B$1=A6,Conditions!E21&gt;0),B3,"")</f>
        <v/>
      </c>
      <c r="E19" s="113"/>
      <c r="F19" s="113"/>
      <c r="G19" s="3"/>
      <c r="H19" s="3"/>
      <c r="I19" t="str">
        <f>IF(AND(suppaytype="Freelancer/Independent Contractor",Conditions!E29&gt;0,usinout="Outside the United States",taxcountry="United States"),J19,"")</f>
        <v/>
      </c>
    </row>
    <row r="20" spans="1:9">
      <c r="A20" s="184" t="str">
        <f>Languages!L154</f>
        <v>Canada Print Royalty</v>
      </c>
      <c r="D20" s="113" t="str">
        <f>IF(AND($B$1=A5,Conditions!E21&gt;0),B3,"")</f>
        <v/>
      </c>
      <c r="E20" s="113"/>
      <c r="F20" s="113"/>
      <c r="G20" s="3"/>
      <c r="H20" s="3"/>
      <c r="I20" t="str">
        <f>IF(AND(suppaytype="Freelancer/Independent Contractor",Conditions!E29=0,taxcountry&lt;&gt;"select a country…"),J20,"")</f>
        <v/>
      </c>
    </row>
    <row r="21" spans="1:9">
      <c r="A21" s="184" t="str">
        <f>Languages!L156</f>
        <v>Flat Fee</v>
      </c>
      <c r="D21" s="113" t="str">
        <f>IF(AND($B$1=A2,Conditions!E3&gt;0,Form!I25='VM Team Conditions'!A39),B2,"")</f>
        <v/>
      </c>
      <c r="E21" s="113"/>
      <c r="F21" s="113"/>
      <c r="G21" s="3"/>
      <c r="H21" s="3"/>
      <c r="I21" t="str">
        <f>IF(suppaytype="Refund",J21,"")</f>
        <v/>
      </c>
    </row>
    <row r="22" spans="1:9">
      <c r="A22" s="184" t="str">
        <f>Languages!L157</f>
        <v>Michie</v>
      </c>
      <c r="D22" s="113" t="str">
        <f>IF(AND($B$1=A2,Conditions!E3&gt;0,Form!I25='VM Team Conditions'!A38),B2,"")</f>
        <v/>
      </c>
      <c r="E22" s="113"/>
      <c r="F22" s="113"/>
      <c r="G22" s="3"/>
      <c r="H22" s="3"/>
      <c r="I22" t="str">
        <f>IF(AND(LEFT(suppaytype,7)="Company",Conditions!E29&gt;0,usinout="Within the United States",taxcountry&lt;&gt;"United States",itinfield=""),J22,"")</f>
        <v/>
      </c>
    </row>
    <row r="23" spans="1:9">
      <c r="A23" s="184" t="str">
        <f>Languages!L158</f>
        <v>Matthew Bender</v>
      </c>
      <c r="D23" s="113" t="str">
        <f>IF(AND($B$1=A2,Conditions!E22&gt;0,Form!I21='Drop Down Lists'!A2),B2,"")</f>
        <v/>
      </c>
      <c r="E23" s="113"/>
      <c r="F23" s="113"/>
      <c r="G23" s="3"/>
      <c r="H23" s="3"/>
      <c r="I23" t="str">
        <f>IF(AND(LEFT(suppaytype,7)="Company",Conditions!E29&gt;0,usinout="Within the United States",taxcountry&lt;&gt;"United States",itinfield&gt;""),J23,"")</f>
        <v/>
      </c>
    </row>
    <row r="24" spans="1:9">
      <c r="A24" s="184" t="str">
        <f>Languages!L159</f>
        <v>Flat Fee and Michie</v>
      </c>
      <c r="D24" s="113" t="str">
        <f>IF(AND($B$1=A2,Conditions!E22&gt;0,Form!F24=A33),B2,"")</f>
        <v/>
      </c>
      <c r="E24" s="113"/>
      <c r="F24" s="113"/>
      <c r="G24" s="3"/>
      <c r="H24" s="3"/>
      <c r="I24" t="str">
        <f>IF(AND(LEFT(suppaytype,7)="Company",Conditions!E29&gt;0,usinout="Outside the United States",taxcountry&lt;&gt;"United States"),J24,"")</f>
        <v/>
      </c>
    </row>
    <row r="25" spans="1:9">
      <c r="A25" s="184" t="str">
        <f>Languages!L160</f>
        <v>Flat Fee and Matthew Bender</v>
      </c>
      <c r="D25" s="113" t="str">
        <f>IF($B$1=A13,B2,"")</f>
        <v/>
      </c>
      <c r="E25" s="113"/>
      <c r="F25" s="113"/>
      <c r="G25" s="3"/>
      <c r="H25" s="3"/>
      <c r="I25" t="str">
        <f>IF(AND(LEFT(suppaytype,7)="Company",Conditions!E29=0,taxcountry&lt;&gt;"select a country…"),J24,"")</f>
        <v/>
      </c>
    </row>
    <row r="26" spans="1:9">
      <c r="A26" s="184" t="str">
        <f>Languages!L161</f>
        <v>Royalty</v>
      </c>
      <c r="D26" s="113" t="str">
        <f>IF($B$1=A14,B9,"")</f>
        <v/>
      </c>
      <c r="E26" s="113"/>
      <c r="F26" s="113"/>
      <c r="G26" s="3"/>
    </row>
    <row r="27" spans="1:9">
      <c r="A27" s="184" t="str">
        <f>Languages!L162</f>
        <v>Flat Fee and Royalty</v>
      </c>
      <c r="D27" s="113" t="str">
        <f>IF(AND($B$1=A2,ledger1=A44),B3,"")</f>
        <v/>
      </c>
      <c r="E27" s="113"/>
      <c r="F27" s="113"/>
      <c r="G27" s="3"/>
    </row>
    <row r="28" spans="1:9">
      <c r="D28" s="113" t="str">
        <f>IF(AND($B$1=A8,ledger1=A44),B3,"")</f>
        <v/>
      </c>
      <c r="E28" s="113"/>
      <c r="F28" s="113"/>
      <c r="G28" s="3"/>
    </row>
    <row r="29" spans="1:9">
      <c r="D29" s="113" t="str">
        <f>IF(Form!E14='Drop Down Lists'!M4,B10,"")</f>
        <v/>
      </c>
      <c r="E29" s="113"/>
      <c r="F29" s="113"/>
    </row>
    <row r="30" spans="1:9">
      <c r="A30" t="s">
        <v>3100</v>
      </c>
      <c r="D30" s="113"/>
      <c r="E30" s="113"/>
      <c r="F30" s="113"/>
    </row>
    <row r="31" spans="1:9">
      <c r="A31" t="str">
        <f>Languages!L108</f>
        <v>Select One…</v>
      </c>
    </row>
    <row r="32" spans="1:9">
      <c r="A32" t="str">
        <f>Languages!L169</f>
        <v>Matthew Bender (Pub Number 0-9999)</v>
      </c>
    </row>
    <row r="33" spans="1:6">
      <c r="A33" t="str">
        <f>Languages!L170</f>
        <v>Michie (Pub Number 10000 and up)</v>
      </c>
      <c r="D33" t="str">
        <f>IF(AND(D14&lt;&gt;"",(OR(D23&lt;&gt;"",D24&lt;&gt;"")))," and ","")</f>
        <v/>
      </c>
      <c r="F33" t="str">
        <f>IF(AND(F14&lt;&gt;"",(OR(F23&lt;&gt;"",F24&lt;&gt;"")))," and ","")</f>
        <v/>
      </c>
    </row>
    <row r="34" spans="1:6">
      <c r="D34" t="str">
        <f>IF(AND(D23&lt;&gt;"",D24&lt;&gt;"")," and ","")</f>
        <v/>
      </c>
      <c r="F34" t="str">
        <f>IF(AND(F23&lt;&gt;"",F24&lt;&gt;"")," and ","")</f>
        <v/>
      </c>
    </row>
    <row r="36" spans="1:6">
      <c r="A36" t="s">
        <v>3101</v>
      </c>
    </row>
    <row r="37" spans="1:6">
      <c r="A37" t="str">
        <f>Languages!L108</f>
        <v>Select One…</v>
      </c>
    </row>
    <row r="38" spans="1:6">
      <c r="A38" t="str">
        <f>Languages!L153</f>
        <v>Canada Online Royalty</v>
      </c>
    </row>
    <row r="39" spans="1:6">
      <c r="A39" t="str">
        <f>Languages!L154</f>
        <v>Canada Print Royalty</v>
      </c>
    </row>
    <row r="40" spans="1:6">
      <c r="A40" t="str">
        <f>Languages!L155</f>
        <v>Canada Online and Print Royalty</v>
      </c>
    </row>
    <row r="43" spans="1:6">
      <c r="A43" t="s">
        <v>3102</v>
      </c>
    </row>
    <row r="44" spans="1:6">
      <c r="A44" t="s">
        <v>2178</v>
      </c>
    </row>
    <row r="45" spans="1:6">
      <c r="A45" t="s">
        <v>2636</v>
      </c>
    </row>
    <row r="46" spans="1:6">
      <c r="A46" t="s">
        <v>2706</v>
      </c>
    </row>
    <row r="47" spans="1:6">
      <c r="A47" t="s">
        <v>2791</v>
      </c>
    </row>
    <row r="48" spans="1:6">
      <c r="A48" t="s">
        <v>2793</v>
      </c>
    </row>
    <row r="49" spans="1:1">
      <c r="A49" t="s">
        <v>3103</v>
      </c>
    </row>
    <row r="50" spans="1:1">
      <c r="A50" t="s">
        <v>2799</v>
      </c>
    </row>
    <row r="51" spans="1:1">
      <c r="A51" t="s">
        <v>2822</v>
      </c>
    </row>
    <row r="52" spans="1:1">
      <c r="A52" t="s">
        <v>2832</v>
      </c>
    </row>
    <row r="53" spans="1:1">
      <c r="A53" t="s">
        <v>2467</v>
      </c>
    </row>
    <row r="54" spans="1:1">
      <c r="A54" t="s">
        <v>2477</v>
      </c>
    </row>
    <row r="55" spans="1:1">
      <c r="A55" t="s">
        <v>2853</v>
      </c>
    </row>
    <row r="56" spans="1:1">
      <c r="A56" t="s">
        <v>2883</v>
      </c>
    </row>
    <row r="57" spans="1:1">
      <c r="A57" t="s">
        <v>2508</v>
      </c>
    </row>
    <row r="58" spans="1:1">
      <c r="A58" t="s">
        <v>2890</v>
      </c>
    </row>
    <row r="59" spans="1:1">
      <c r="A59" t="s">
        <v>2903</v>
      </c>
    </row>
    <row r="60" spans="1:1">
      <c r="A60" t="s">
        <v>2909</v>
      </c>
    </row>
    <row r="61" spans="1:1">
      <c r="A61" t="s">
        <v>2910</v>
      </c>
    </row>
    <row r="62" spans="1:1">
      <c r="A62" t="s">
        <v>2917</v>
      </c>
    </row>
    <row r="63" spans="1:1">
      <c r="A63" t="s">
        <v>2575</v>
      </c>
    </row>
    <row r="64" spans="1:1">
      <c r="A64" t="s">
        <v>2957</v>
      </c>
    </row>
    <row r="65" spans="1:1">
      <c r="A65" t="s">
        <v>2958</v>
      </c>
    </row>
    <row r="66" spans="1:1">
      <c r="A66" t="s">
        <v>2963</v>
      </c>
    </row>
    <row r="67" spans="1:1">
      <c r="A67" t="s">
        <v>2985</v>
      </c>
    </row>
    <row r="68" spans="1:1">
      <c r="A68" t="s">
        <v>2986</v>
      </c>
    </row>
    <row r="69" spans="1:1">
      <c r="A69" t="s">
        <v>2991</v>
      </c>
    </row>
    <row r="70" spans="1:1">
      <c r="A70" t="s">
        <v>2635</v>
      </c>
    </row>
    <row r="71" spans="1:1">
      <c r="A71" t="s">
        <v>2650</v>
      </c>
    </row>
    <row r="170" spans="1:1">
      <c r="A170">
        <f>I110</f>
        <v>0</v>
      </c>
    </row>
  </sheetData>
  <sheetProtection algorithmName="SHA-512" hashValue="dXWZYGSkeVHIgChP7xbsUckK+00hqdJsjwRv72k9QWHQQAWBerT/dW2Zs+DgFmEz0iNIw7EXZJ1Wh1cA+fcopQ==" saltValue="AsbEUgiqXqtG8tLunrGi4Q==" spinCount="100000" sheet="1" objects="1" scenarios="1"/>
  <pageMargins left="0.7" right="0.7" top="0.75" bottom="0.75" header="0.3" footer="0.3"/>
  <pageSetup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ABFA5E-CED6-4D1F-9BAA-555307E9CA09}">
  <sheetPr codeName="Sheet11"/>
  <dimension ref="A1:D40"/>
  <sheetViews>
    <sheetView workbookViewId="0">
      <pane ySplit="1" topLeftCell="A23" activePane="bottomLeft" state="frozen"/>
      <selection pane="bottomLeft" activeCell="A40" sqref="A40"/>
    </sheetView>
  </sheetViews>
  <sheetFormatPr baseColWidth="10" defaultColWidth="9.109375" defaultRowHeight="14.4"/>
  <cols>
    <col min="1" max="1" width="7.88671875" style="8" bestFit="1" customWidth="1"/>
    <col min="2" max="2" width="12.88671875" style="152" bestFit="1" customWidth="1"/>
    <col min="3" max="3" width="14.5546875" style="153" customWidth="1"/>
    <col min="4" max="4" width="105" style="89" customWidth="1"/>
    <col min="5" max="16384" width="9.109375" style="8"/>
  </cols>
  <sheetData>
    <row r="1" spans="1:4" s="149" customFormat="1">
      <c r="A1" s="131" t="s">
        <v>3104</v>
      </c>
      <c r="B1" s="148" t="s">
        <v>911</v>
      </c>
      <c r="C1" s="149" t="s">
        <v>3105</v>
      </c>
      <c r="D1" s="150" t="s">
        <v>3106</v>
      </c>
    </row>
    <row r="2" spans="1:4">
      <c r="A2" s="151">
        <v>0</v>
      </c>
      <c r="B2" s="152">
        <v>44044</v>
      </c>
      <c r="C2" s="152">
        <v>44040</v>
      </c>
    </row>
    <row r="3" spans="1:4">
      <c r="A3" s="151">
        <v>1</v>
      </c>
      <c r="B3" s="152">
        <v>44075</v>
      </c>
      <c r="D3" s="89" t="s">
        <v>3107</v>
      </c>
    </row>
    <row r="4" spans="1:4">
      <c r="A4" s="151">
        <v>1.1000000000000001</v>
      </c>
      <c r="B4" s="152">
        <v>44085</v>
      </c>
      <c r="C4" s="152">
        <v>44092</v>
      </c>
      <c r="D4" s="89" t="s">
        <v>3108</v>
      </c>
    </row>
    <row r="5" spans="1:4" ht="57.6">
      <c r="A5" s="151">
        <v>1.2</v>
      </c>
      <c r="B5" s="154" t="s">
        <v>3109</v>
      </c>
      <c r="C5" s="152">
        <v>44140</v>
      </c>
      <c r="D5" s="89" t="s">
        <v>3110</v>
      </c>
    </row>
    <row r="6" spans="1:4" ht="28.8">
      <c r="A6" s="151">
        <v>1.3</v>
      </c>
      <c r="B6" s="154" t="s">
        <v>3111</v>
      </c>
      <c r="C6" s="152">
        <v>44153</v>
      </c>
      <c r="D6" s="89" t="s">
        <v>3112</v>
      </c>
    </row>
    <row r="7" spans="1:4">
      <c r="A7" s="151">
        <v>1.4</v>
      </c>
      <c r="B7" s="152">
        <v>44166</v>
      </c>
      <c r="D7" s="89" t="s">
        <v>3113</v>
      </c>
    </row>
    <row r="8" spans="1:4">
      <c r="A8" s="151">
        <v>1.4</v>
      </c>
      <c r="B8" s="152">
        <v>44259</v>
      </c>
      <c r="D8" s="89" t="s">
        <v>3114</v>
      </c>
    </row>
    <row r="9" spans="1:4" ht="43.2">
      <c r="A9" s="151">
        <v>1.5</v>
      </c>
      <c r="B9" s="152">
        <v>44267</v>
      </c>
      <c r="D9" s="89" t="s">
        <v>3115</v>
      </c>
    </row>
    <row r="10" spans="1:4" ht="43.2">
      <c r="A10" s="151">
        <v>1.6</v>
      </c>
      <c r="B10" s="152">
        <v>44280</v>
      </c>
      <c r="C10" s="152">
        <v>44291</v>
      </c>
      <c r="D10" s="89" t="s">
        <v>3116</v>
      </c>
    </row>
    <row r="11" spans="1:4">
      <c r="A11" s="151">
        <v>1.7</v>
      </c>
      <c r="B11" s="152">
        <v>44302</v>
      </c>
      <c r="D11" s="89" t="s">
        <v>3117</v>
      </c>
    </row>
    <row r="12" spans="1:4">
      <c r="A12" s="151">
        <v>1.7</v>
      </c>
      <c r="B12" s="152">
        <v>44314</v>
      </c>
      <c r="D12" s="89" t="s">
        <v>3118</v>
      </c>
    </row>
    <row r="13" spans="1:4" ht="28.8">
      <c r="A13" s="8">
        <v>1.7</v>
      </c>
      <c r="B13" s="152">
        <v>44315</v>
      </c>
      <c r="C13" s="152">
        <v>44317</v>
      </c>
      <c r="D13" s="89" t="s">
        <v>3119</v>
      </c>
    </row>
    <row r="14" spans="1:4" ht="43.2">
      <c r="A14" s="8">
        <v>1.8</v>
      </c>
      <c r="B14" s="152">
        <v>44351</v>
      </c>
      <c r="C14" s="152">
        <v>44358</v>
      </c>
      <c r="D14" s="89" t="s">
        <v>3120</v>
      </c>
    </row>
    <row r="15" spans="1:4">
      <c r="A15" s="8">
        <v>1.9</v>
      </c>
      <c r="B15" s="152">
        <v>44375</v>
      </c>
      <c r="D15" s="89" t="s">
        <v>3121</v>
      </c>
    </row>
    <row r="16" spans="1:4" ht="57.6">
      <c r="A16" s="8">
        <v>1.9</v>
      </c>
      <c r="B16" s="152">
        <v>44406</v>
      </c>
      <c r="D16" s="89" t="s">
        <v>3122</v>
      </c>
    </row>
    <row r="17" spans="1:4" ht="28.8">
      <c r="A17" s="8">
        <v>1.9</v>
      </c>
      <c r="B17" s="152">
        <v>44424</v>
      </c>
      <c r="D17" s="89" t="s">
        <v>3123</v>
      </c>
    </row>
    <row r="18" spans="1:4">
      <c r="A18" s="8">
        <v>1.9</v>
      </c>
      <c r="B18" s="152">
        <v>44428</v>
      </c>
      <c r="D18" s="89" t="s">
        <v>3124</v>
      </c>
    </row>
    <row r="19" spans="1:4" ht="28.8">
      <c r="A19" s="8">
        <v>1.9</v>
      </c>
      <c r="B19" s="152">
        <v>44441</v>
      </c>
      <c r="C19" s="152">
        <v>44452</v>
      </c>
      <c r="D19" s="89" t="s">
        <v>3125</v>
      </c>
    </row>
    <row r="20" spans="1:4">
      <c r="A20" s="189">
        <v>1.1000000000000001</v>
      </c>
      <c r="B20" s="152">
        <v>44456</v>
      </c>
      <c r="D20" s="89" t="s">
        <v>3126</v>
      </c>
    </row>
    <row r="21" spans="1:4" ht="43.2">
      <c r="A21" s="189">
        <v>1.1100000000000001</v>
      </c>
      <c r="B21" s="152">
        <v>44467</v>
      </c>
      <c r="D21" s="89" t="s">
        <v>3127</v>
      </c>
    </row>
    <row r="22" spans="1:4" ht="28.8">
      <c r="A22" s="8">
        <v>1.1100000000000001</v>
      </c>
      <c r="B22" s="152">
        <v>44474</v>
      </c>
      <c r="C22" s="152">
        <v>44475</v>
      </c>
      <c r="D22" s="89" t="s">
        <v>3128</v>
      </c>
    </row>
    <row r="23" spans="1:4" ht="43.2">
      <c r="A23" s="8">
        <v>1.1200000000000001</v>
      </c>
      <c r="B23" s="152">
        <v>44666</v>
      </c>
      <c r="D23" s="89" t="s">
        <v>3129</v>
      </c>
    </row>
    <row r="24" spans="1:4">
      <c r="A24" s="8">
        <v>1.1200000000000001</v>
      </c>
      <c r="B24" s="152">
        <v>44679</v>
      </c>
      <c r="D24" s="89" t="s">
        <v>3130</v>
      </c>
    </row>
    <row r="25" spans="1:4" ht="43.2">
      <c r="A25" s="8">
        <v>1.1200000000000001</v>
      </c>
      <c r="B25" s="152">
        <v>44685</v>
      </c>
      <c r="C25" s="152">
        <v>44687</v>
      </c>
      <c r="D25" s="89" t="s">
        <v>3131</v>
      </c>
    </row>
    <row r="26" spans="1:4" ht="28.8">
      <c r="A26" s="8">
        <v>1.1299999999999999</v>
      </c>
      <c r="B26" s="152">
        <v>44757</v>
      </c>
      <c r="C26" s="152">
        <v>44760</v>
      </c>
      <c r="D26" s="89" t="s">
        <v>3132</v>
      </c>
    </row>
    <row r="27" spans="1:4" ht="43.2">
      <c r="A27" s="8">
        <v>1.1399999999999999</v>
      </c>
      <c r="B27" s="152">
        <v>44771</v>
      </c>
      <c r="C27" s="201">
        <v>44774</v>
      </c>
      <c r="D27" s="89" t="s">
        <v>3133</v>
      </c>
    </row>
    <row r="28" spans="1:4">
      <c r="A28" s="8">
        <v>1.1499999999999999</v>
      </c>
      <c r="B28" s="152">
        <v>44925</v>
      </c>
      <c r="C28" s="152">
        <v>44930</v>
      </c>
      <c r="D28" s="89" t="s">
        <v>3134</v>
      </c>
    </row>
    <row r="29" spans="1:4">
      <c r="A29" s="8">
        <v>1.1599999999999999</v>
      </c>
      <c r="B29" s="152">
        <v>45177</v>
      </c>
      <c r="C29" s="152">
        <v>45183</v>
      </c>
      <c r="D29" s="89" t="s">
        <v>3135</v>
      </c>
    </row>
    <row r="30" spans="1:4">
      <c r="A30" s="8">
        <v>1.17</v>
      </c>
      <c r="B30" s="152">
        <v>45201</v>
      </c>
      <c r="C30" s="152">
        <v>45201</v>
      </c>
      <c r="D30" s="89" t="s">
        <v>3136</v>
      </c>
    </row>
    <row r="31" spans="1:4">
      <c r="A31" s="8">
        <v>1.18</v>
      </c>
      <c r="B31" s="152">
        <v>45443</v>
      </c>
      <c r="D31" s="89" t="s">
        <v>3137</v>
      </c>
    </row>
    <row r="32" spans="1:4" ht="43.2">
      <c r="A32" s="8">
        <v>1.19</v>
      </c>
      <c r="B32" s="152">
        <v>45561</v>
      </c>
      <c r="C32" s="152">
        <v>45561</v>
      </c>
      <c r="D32" s="89" t="s">
        <v>3138</v>
      </c>
    </row>
    <row r="33" spans="1:4">
      <c r="A33" s="8">
        <v>2</v>
      </c>
      <c r="B33" s="152">
        <v>45904</v>
      </c>
      <c r="C33" s="152">
        <v>45904</v>
      </c>
      <c r="D33" s="89" t="s">
        <v>3139</v>
      </c>
    </row>
    <row r="34" spans="1:4" ht="28.8">
      <c r="A34" s="8">
        <v>2.1</v>
      </c>
      <c r="B34" s="152">
        <v>45905</v>
      </c>
      <c r="D34" s="89" t="s">
        <v>3140</v>
      </c>
    </row>
    <row r="35" spans="1:4">
      <c r="A35" s="8">
        <v>2.1</v>
      </c>
      <c r="B35" s="152">
        <v>45910</v>
      </c>
      <c r="D35" s="89" t="s">
        <v>3141</v>
      </c>
    </row>
    <row r="36" spans="1:4">
      <c r="A36" s="8">
        <v>2.2000000000000002</v>
      </c>
      <c r="B36" s="152">
        <v>45919</v>
      </c>
      <c r="C36" s="152">
        <v>45929</v>
      </c>
      <c r="D36" s="89" t="s">
        <v>3142</v>
      </c>
    </row>
    <row r="37" spans="1:4" ht="28.8">
      <c r="A37" s="8">
        <v>2.2999999999999998</v>
      </c>
      <c r="B37" s="152">
        <v>45931</v>
      </c>
      <c r="D37" s="89" t="s">
        <v>3143</v>
      </c>
    </row>
    <row r="38" spans="1:4">
      <c r="A38" s="8">
        <v>2.4</v>
      </c>
      <c r="B38" s="152">
        <v>45940</v>
      </c>
      <c r="D38" s="89" t="s">
        <v>3144</v>
      </c>
    </row>
    <row r="39" spans="1:4">
      <c r="A39" s="8">
        <v>2.4</v>
      </c>
      <c r="B39" s="152">
        <v>45943</v>
      </c>
      <c r="C39" s="152">
        <v>45944</v>
      </c>
      <c r="D39" s="89" t="s">
        <v>3145</v>
      </c>
    </row>
    <row r="40" spans="1:4">
      <c r="A40" s="8">
        <v>2.5</v>
      </c>
      <c r="B40" s="152">
        <v>45945</v>
      </c>
      <c r="C40" s="152">
        <v>45945</v>
      </c>
      <c r="D40" s="89" t="s">
        <v>3146</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069066-1B8B-44D9-9032-5A60D39178A2}">
  <sheetPr codeName="Sheet10"/>
  <dimension ref="A2:J152"/>
  <sheetViews>
    <sheetView showGridLines="0" topLeftCell="A133" zoomScaleNormal="100" workbookViewId="0">
      <selection activeCell="R138" sqref="R138"/>
    </sheetView>
  </sheetViews>
  <sheetFormatPr baseColWidth="10" defaultColWidth="8.6640625" defaultRowHeight="14.4"/>
  <cols>
    <col min="2" max="2" width="10.33203125" customWidth="1"/>
    <col min="3" max="3" width="2.5546875" customWidth="1"/>
    <col min="4" max="4" width="1.88671875" bestFit="1" customWidth="1"/>
    <col min="5" max="5" width="2.5546875" bestFit="1" customWidth="1"/>
    <col min="6" max="6" width="62.5546875" bestFit="1" customWidth="1"/>
    <col min="9" max="9" width="9.109375" customWidth="1"/>
  </cols>
  <sheetData>
    <row r="2" spans="2:10" ht="15" thickBot="1"/>
    <row r="3" spans="2:10" ht="15" thickBot="1">
      <c r="B3" s="236" t="s">
        <v>41</v>
      </c>
    </row>
    <row r="5" spans="2:10" s="8" customFormat="1" ht="20.100000000000001" customHeight="1">
      <c r="C5" s="131" t="s">
        <v>42</v>
      </c>
      <c r="D5" s="89"/>
      <c r="E5" s="89"/>
      <c r="F5" s="89"/>
      <c r="G5" s="89"/>
      <c r="H5" s="89"/>
      <c r="I5" s="89"/>
    </row>
    <row r="6" spans="2:10" s="8" customFormat="1">
      <c r="C6" s="173" t="s">
        <v>43</v>
      </c>
      <c r="E6" s="89"/>
      <c r="F6" s="89"/>
      <c r="G6" s="89"/>
      <c r="H6" s="89"/>
      <c r="I6" s="89"/>
    </row>
    <row r="7" spans="2:10" s="8" customFormat="1" ht="8.25" customHeight="1">
      <c r="C7" s="173"/>
      <c r="E7" s="89"/>
      <c r="F7" s="89"/>
      <c r="G7" s="89"/>
      <c r="H7" s="89"/>
      <c r="I7" s="89"/>
    </row>
    <row r="8" spans="2:10" s="8" customFormat="1">
      <c r="E8" s="89"/>
      <c r="F8" s="193" t="s">
        <v>44</v>
      </c>
      <c r="G8" s="89"/>
      <c r="H8" s="89"/>
      <c r="I8" s="89"/>
    </row>
    <row r="9" spans="2:10" s="8" customFormat="1">
      <c r="E9" s="89"/>
      <c r="F9" s="191" t="s">
        <v>45</v>
      </c>
      <c r="G9" s="89"/>
      <c r="H9" s="89"/>
      <c r="I9" s="89"/>
      <c r="J9" s="190"/>
    </row>
    <row r="10" spans="2:10" s="8" customFormat="1">
      <c r="E10" s="89"/>
      <c r="F10" s="192" t="s">
        <v>46</v>
      </c>
      <c r="G10" s="89"/>
      <c r="H10" s="89"/>
      <c r="I10" s="89"/>
      <c r="J10" s="190"/>
    </row>
    <row r="11" spans="2:10" s="8" customFormat="1" ht="10.5" customHeight="1">
      <c r="C11" s="131"/>
      <c r="D11" s="89"/>
      <c r="E11" s="89"/>
      <c r="F11" s="89"/>
      <c r="G11" s="89"/>
      <c r="H11" s="89"/>
      <c r="I11" s="89"/>
    </row>
    <row r="12" spans="2:10" ht="59.25" customHeight="1">
      <c r="D12" s="8" t="s">
        <v>0</v>
      </c>
      <c r="E12" s="524" t="s">
        <v>47</v>
      </c>
      <c r="F12" s="524"/>
    </row>
    <row r="13" spans="2:10" ht="113.25" customHeight="1">
      <c r="D13" s="8"/>
      <c r="E13" s="111"/>
      <c r="F13" s="169" t="s">
        <v>48</v>
      </c>
    </row>
    <row r="14" spans="2:10" ht="16.5" customHeight="1">
      <c r="D14" s="8"/>
      <c r="E14" s="111"/>
      <c r="F14" s="172"/>
    </row>
    <row r="15" spans="2:10">
      <c r="D15" t="s">
        <v>0</v>
      </c>
      <c r="E15" s="521" t="s">
        <v>49</v>
      </c>
      <c r="F15" s="521"/>
    </row>
    <row r="16" spans="2:10">
      <c r="D16" s="8"/>
      <c r="E16" s="132">
        <v>1</v>
      </c>
      <c r="F16" s="111" t="s">
        <v>50</v>
      </c>
    </row>
    <row r="17" spans="3:6" ht="47.25" customHeight="1">
      <c r="D17" s="8"/>
      <c r="E17" s="132"/>
      <c r="F17" s="147" t="s">
        <v>51</v>
      </c>
    </row>
    <row r="18" spans="3:6" ht="34.5" customHeight="1">
      <c r="D18" s="8"/>
      <c r="E18" s="132"/>
      <c r="F18" s="147" t="s">
        <v>52</v>
      </c>
    </row>
    <row r="19" spans="3:6" ht="35.25" customHeight="1">
      <c r="D19" s="8"/>
      <c r="E19" s="132">
        <v>2</v>
      </c>
      <c r="F19" s="111" t="s">
        <v>53</v>
      </c>
    </row>
    <row r="20" spans="3:6">
      <c r="D20" s="8"/>
      <c r="E20" s="132">
        <v>3</v>
      </c>
      <c r="F20" s="111" t="s">
        <v>54</v>
      </c>
    </row>
    <row r="21" spans="3:6">
      <c r="D21" s="8"/>
      <c r="E21" s="132"/>
      <c r="F21" s="111" t="s">
        <v>55</v>
      </c>
    </row>
    <row r="22" spans="3:6">
      <c r="D22" s="8"/>
      <c r="E22" s="132"/>
      <c r="F22" s="111" t="s">
        <v>56</v>
      </c>
    </row>
    <row r="23" spans="3:6" ht="18" customHeight="1">
      <c r="D23" s="8"/>
      <c r="E23" s="132"/>
      <c r="F23" s="111" t="s">
        <v>57</v>
      </c>
    </row>
    <row r="24" spans="3:6" ht="36.75" customHeight="1">
      <c r="D24" s="8"/>
      <c r="E24" s="132"/>
      <c r="F24" s="111" t="s">
        <v>58</v>
      </c>
    </row>
    <row r="25" spans="3:6" ht="28.8">
      <c r="D25" s="8"/>
      <c r="E25" s="132">
        <v>4</v>
      </c>
      <c r="F25" s="111" t="s">
        <v>59</v>
      </c>
    </row>
    <row r="26" spans="3:6">
      <c r="D26" s="8"/>
      <c r="E26" s="8"/>
      <c r="F26" s="111"/>
    </row>
    <row r="28" spans="3:6" s="8" customFormat="1" ht="20.100000000000001" customHeight="1">
      <c r="C28" s="131" t="s">
        <v>60</v>
      </c>
    </row>
    <row r="29" spans="3:6" ht="28.8">
      <c r="D29" s="8" t="s">
        <v>0</v>
      </c>
      <c r="E29" s="8"/>
      <c r="F29" s="111" t="s">
        <v>61</v>
      </c>
    </row>
    <row r="30" spans="3:6" ht="43.2">
      <c r="D30" s="8" t="s">
        <v>0</v>
      </c>
      <c r="E30" s="8"/>
      <c r="F30" s="129" t="s">
        <v>62</v>
      </c>
    </row>
    <row r="31" spans="3:6" ht="28.8">
      <c r="D31" s="8" t="s">
        <v>0</v>
      </c>
      <c r="E31" s="8"/>
      <c r="F31" s="111" t="s">
        <v>63</v>
      </c>
    </row>
    <row r="32" spans="3:6" ht="28.8">
      <c r="D32" s="8" t="s">
        <v>0</v>
      </c>
      <c r="F32" s="129" t="s">
        <v>64</v>
      </c>
    </row>
    <row r="34" spans="2:10" ht="15" thickBot="1"/>
    <row r="35" spans="2:10" ht="15" thickBot="1">
      <c r="B35" s="237" t="s">
        <v>65</v>
      </c>
      <c r="C35" s="238"/>
      <c r="D35" s="238"/>
      <c r="E35" s="239"/>
    </row>
    <row r="38" spans="2:10" s="8" customFormat="1" ht="20.100000000000001" customHeight="1">
      <c r="C38" s="131" t="s">
        <v>42</v>
      </c>
      <c r="D38" s="89"/>
      <c r="E38" s="89"/>
      <c r="F38" s="89"/>
      <c r="G38" s="89"/>
      <c r="H38" s="89"/>
      <c r="I38" s="89"/>
    </row>
    <row r="39" spans="2:10" s="8" customFormat="1" ht="8.25" customHeight="1">
      <c r="C39" s="173"/>
      <c r="E39" s="89"/>
      <c r="F39" s="89"/>
      <c r="G39" s="89"/>
      <c r="H39" s="89"/>
      <c r="I39" s="89"/>
    </row>
    <row r="40" spans="2:10" s="8" customFormat="1">
      <c r="E40" s="89"/>
      <c r="F40" s="193" t="s">
        <v>66</v>
      </c>
      <c r="G40" s="89"/>
      <c r="H40" s="89"/>
      <c r="I40" s="89"/>
    </row>
    <row r="41" spans="2:10" s="8" customFormat="1">
      <c r="E41" s="89"/>
      <c r="F41" s="191" t="s">
        <v>45</v>
      </c>
      <c r="G41" s="89"/>
      <c r="H41" s="89"/>
      <c r="I41" s="89"/>
      <c r="J41" s="190"/>
    </row>
    <row r="42" spans="2:10" s="8" customFormat="1">
      <c r="E42" s="89"/>
      <c r="F42" s="192" t="s">
        <v>46</v>
      </c>
      <c r="G42" s="89"/>
      <c r="H42" s="89"/>
      <c r="I42" s="89"/>
      <c r="J42" s="190"/>
    </row>
    <row r="43" spans="2:10" s="8" customFormat="1" ht="10.5" customHeight="1">
      <c r="C43" s="131"/>
      <c r="D43" s="89"/>
      <c r="E43" s="89"/>
      <c r="F43" s="89"/>
      <c r="G43" s="89"/>
      <c r="H43" s="89"/>
      <c r="I43" s="89"/>
    </row>
    <row r="44" spans="2:10" ht="54" customHeight="1">
      <c r="D44" s="8" t="s">
        <v>0</v>
      </c>
      <c r="E44" s="524" t="s">
        <v>67</v>
      </c>
      <c r="F44" s="524"/>
    </row>
    <row r="45" spans="2:10" ht="16.5" customHeight="1">
      <c r="D45" s="8"/>
      <c r="E45" s="111"/>
      <c r="F45" s="172"/>
    </row>
    <row r="46" spans="2:10">
      <c r="D46" t="s">
        <v>0</v>
      </c>
      <c r="E46" s="521" t="s">
        <v>49</v>
      </c>
      <c r="F46" s="521"/>
    </row>
    <row r="47" spans="2:10">
      <c r="D47" s="8"/>
      <c r="E47" s="132">
        <v>1</v>
      </c>
      <c r="F47" s="111" t="s">
        <v>68</v>
      </c>
    </row>
    <row r="48" spans="2:10" ht="47.25" customHeight="1">
      <c r="D48" s="8"/>
      <c r="E48" s="132"/>
      <c r="F48" s="147" t="s">
        <v>51</v>
      </c>
    </row>
    <row r="49" spans="3:6" ht="39.75" customHeight="1">
      <c r="D49" s="8"/>
      <c r="E49" s="132"/>
      <c r="F49" s="147" t="s">
        <v>69</v>
      </c>
    </row>
    <row r="50" spans="3:6" ht="37.5" customHeight="1">
      <c r="D50" s="8"/>
      <c r="E50" s="132">
        <v>2</v>
      </c>
      <c r="F50" s="111" t="s">
        <v>53</v>
      </c>
    </row>
    <row r="51" spans="3:6">
      <c r="D51" s="8"/>
      <c r="E51" s="132">
        <v>3</v>
      </c>
      <c r="F51" s="111" t="s">
        <v>54</v>
      </c>
    </row>
    <row r="52" spans="3:6">
      <c r="D52" s="8"/>
      <c r="E52" s="132"/>
      <c r="F52" s="111" t="s">
        <v>55</v>
      </c>
    </row>
    <row r="53" spans="3:6">
      <c r="D53" s="8"/>
      <c r="E53" s="132"/>
      <c r="F53" s="111" t="s">
        <v>56</v>
      </c>
    </row>
    <row r="54" spans="3:6" ht="18" customHeight="1">
      <c r="D54" s="8"/>
      <c r="E54" s="132"/>
      <c r="F54" s="111" t="s">
        <v>57</v>
      </c>
    </row>
    <row r="55" spans="3:6" ht="36" customHeight="1">
      <c r="D55" s="8"/>
      <c r="E55" s="132"/>
      <c r="F55" s="111" t="s">
        <v>58</v>
      </c>
    </row>
    <row r="56" spans="3:6" ht="28.8">
      <c r="D56" s="8"/>
      <c r="E56" s="132">
        <v>4</v>
      </c>
      <c r="F56" s="111" t="s">
        <v>70</v>
      </c>
    </row>
    <row r="58" spans="3:6" s="8" customFormat="1" ht="20.100000000000001" customHeight="1">
      <c r="C58" s="131" t="s">
        <v>60</v>
      </c>
    </row>
    <row r="59" spans="3:6" ht="28.8">
      <c r="D59" s="8" t="s">
        <v>0</v>
      </c>
      <c r="E59" s="8"/>
      <c r="F59" s="111" t="s">
        <v>61</v>
      </c>
    </row>
    <row r="60" spans="3:6" ht="43.2">
      <c r="D60" s="8" t="s">
        <v>0</v>
      </c>
      <c r="E60" s="8"/>
      <c r="F60" s="129" t="s">
        <v>62</v>
      </c>
    </row>
    <row r="61" spans="3:6" ht="28.8">
      <c r="D61" s="8" t="s">
        <v>0</v>
      </c>
      <c r="E61" s="8"/>
      <c r="F61" s="111" t="s">
        <v>63</v>
      </c>
    </row>
    <row r="62" spans="3:6" ht="28.8">
      <c r="D62" s="8" t="s">
        <v>0</v>
      </c>
      <c r="F62" s="129" t="s">
        <v>71</v>
      </c>
    </row>
    <row r="68" spans="3:6">
      <c r="C68" s="241" t="s">
        <v>72</v>
      </c>
    </row>
    <row r="69" spans="3:6">
      <c r="F69" s="111"/>
    </row>
    <row r="70" spans="3:6">
      <c r="F70" s="244" t="s">
        <v>73</v>
      </c>
    </row>
    <row r="71" spans="3:6" ht="43.2">
      <c r="F71" s="245" t="s">
        <v>74</v>
      </c>
    </row>
    <row r="72" spans="3:6">
      <c r="F72" s="111"/>
    </row>
    <row r="73" spans="3:6" ht="43.2">
      <c r="D73" s="8" t="s">
        <v>0</v>
      </c>
      <c r="E73" s="8"/>
      <c r="F73" s="111" t="s">
        <v>75</v>
      </c>
    </row>
    <row r="74" spans="3:6">
      <c r="F74" s="111"/>
    </row>
    <row r="75" spans="3:6">
      <c r="D75" t="s">
        <v>0</v>
      </c>
      <c r="F75" s="247" t="s">
        <v>76</v>
      </c>
    </row>
    <row r="76" spans="3:6">
      <c r="E76" s="246" t="s">
        <v>77</v>
      </c>
      <c r="F76" s="111" t="s">
        <v>78</v>
      </c>
    </row>
    <row r="77" spans="3:6" ht="63" customHeight="1">
      <c r="E77" s="246" t="s">
        <v>77</v>
      </c>
      <c r="F77" s="111" t="s">
        <v>79</v>
      </c>
    </row>
    <row r="78" spans="3:6" ht="28.8">
      <c r="E78" s="246" t="s">
        <v>77</v>
      </c>
      <c r="F78" s="111" t="s">
        <v>80</v>
      </c>
    </row>
    <row r="79" spans="3:6" ht="28.8">
      <c r="E79" s="246" t="s">
        <v>77</v>
      </c>
      <c r="F79" s="111" t="s">
        <v>81</v>
      </c>
    </row>
    <row r="80" spans="3:6" ht="43.2">
      <c r="E80" s="246" t="s">
        <v>77</v>
      </c>
      <c r="F80" s="111" t="s">
        <v>82</v>
      </c>
    </row>
    <row r="81" spans="2:6" ht="28.8">
      <c r="E81" s="246" t="s">
        <v>77</v>
      </c>
      <c r="F81" s="111" t="s">
        <v>83</v>
      </c>
    </row>
    <row r="82" spans="2:6">
      <c r="E82" s="246" t="s">
        <v>77</v>
      </c>
      <c r="F82" s="111" t="s">
        <v>84</v>
      </c>
    </row>
    <row r="83" spans="2:6" ht="28.8">
      <c r="E83" s="246"/>
      <c r="F83" s="111" t="s">
        <v>85</v>
      </c>
    </row>
    <row r="84" spans="2:6" ht="28.8">
      <c r="E84" s="246"/>
      <c r="F84" s="111" t="s">
        <v>86</v>
      </c>
    </row>
    <row r="85" spans="2:6" ht="43.2">
      <c r="E85" s="246" t="s">
        <v>77</v>
      </c>
      <c r="F85" s="111" t="s">
        <v>87</v>
      </c>
    </row>
    <row r="86" spans="2:6">
      <c r="F86" s="111"/>
    </row>
    <row r="87" spans="2:6">
      <c r="C87" s="241" t="s">
        <v>88</v>
      </c>
      <c r="D87" s="243"/>
      <c r="E87" s="242"/>
      <c r="F87" s="242"/>
    </row>
    <row r="88" spans="2:6" ht="28.8">
      <c r="D88" s="8" t="s">
        <v>0</v>
      </c>
      <c r="F88" s="111" t="s">
        <v>89</v>
      </c>
    </row>
    <row r="89" spans="2:6" ht="43.2">
      <c r="D89" s="8" t="s">
        <v>0</v>
      </c>
      <c r="F89" s="111" t="s">
        <v>90</v>
      </c>
    </row>
    <row r="90" spans="2:6" ht="43.2">
      <c r="D90" s="8" t="s">
        <v>0</v>
      </c>
      <c r="F90" s="111" t="s">
        <v>91</v>
      </c>
    </row>
    <row r="91" spans="2:6" ht="28.8">
      <c r="D91" s="8" t="s">
        <v>0</v>
      </c>
      <c r="F91" s="111" t="s">
        <v>92</v>
      </c>
    </row>
    <row r="94" spans="2:6" ht="15" thickBot="1">
      <c r="B94" s="237" t="s">
        <v>93</v>
      </c>
      <c r="C94" s="238"/>
      <c r="D94" s="238"/>
      <c r="E94" s="239"/>
    </row>
    <row r="97" spans="1:6" s="8" customFormat="1" ht="20.100000000000001" customHeight="1">
      <c r="A97" s="89"/>
      <c r="B97" s="89"/>
      <c r="C97" s="267" t="s">
        <v>94</v>
      </c>
      <c r="D97" s="89"/>
      <c r="E97" s="89"/>
    </row>
    <row r="98" spans="1:6" s="8" customFormat="1" ht="8.25" customHeight="1">
      <c r="A98" s="89"/>
      <c r="B98" s="89"/>
      <c r="C98" s="89"/>
      <c r="D98" s="89"/>
      <c r="E98" s="89"/>
    </row>
    <row r="99" spans="1:6" s="8" customFormat="1">
      <c r="A99" s="89"/>
      <c r="B99" s="89"/>
      <c r="C99" s="89"/>
      <c r="D99" s="89"/>
      <c r="E99" s="89"/>
      <c r="F99" s="193" t="s">
        <v>95</v>
      </c>
    </row>
    <row r="100" spans="1:6" s="8" customFormat="1" ht="43.2">
      <c r="A100" s="89"/>
      <c r="B100" s="89"/>
      <c r="C100" s="89"/>
      <c r="D100" s="89"/>
      <c r="E100" s="89"/>
      <c r="F100" s="259" t="s">
        <v>96</v>
      </c>
    </row>
    <row r="101" spans="1:6" s="8" customFormat="1" ht="10.5" customHeight="1">
      <c r="A101" s="89"/>
      <c r="B101" s="89"/>
      <c r="C101" s="89"/>
      <c r="D101" s="89"/>
      <c r="E101" s="89"/>
    </row>
    <row r="102" spans="1:6" ht="75" customHeight="1">
      <c r="D102" s="8" t="s">
        <v>0</v>
      </c>
      <c r="E102" s="522" t="s">
        <v>97</v>
      </c>
      <c r="F102" s="522"/>
    </row>
    <row r="103" spans="1:6">
      <c r="D103" s="8" t="s">
        <v>0</v>
      </c>
      <c r="E103" s="523" t="s">
        <v>98</v>
      </c>
      <c r="F103" s="523"/>
    </row>
    <row r="104" spans="1:6" ht="43.2">
      <c r="F104" s="147" t="s">
        <v>99</v>
      </c>
    </row>
    <row r="105" spans="1:6" ht="5.25" customHeight="1">
      <c r="F105" s="147"/>
    </row>
    <row r="106" spans="1:6" ht="39" customHeight="1">
      <c r="F106" s="147" t="s">
        <v>100</v>
      </c>
    </row>
    <row r="107" spans="1:6" ht="8.25" customHeight="1">
      <c r="F107" s="147"/>
    </row>
    <row r="108" spans="1:6" ht="28.8">
      <c r="F108" s="111" t="s">
        <v>101</v>
      </c>
    </row>
    <row r="109" spans="1:6" ht="8.25" customHeight="1">
      <c r="F109" s="111"/>
    </row>
    <row r="110" spans="1:6">
      <c r="F110" s="111" t="s">
        <v>102</v>
      </c>
    </row>
    <row r="111" spans="1:6" ht="51" customHeight="1">
      <c r="F111" s="111" t="s">
        <v>103</v>
      </c>
    </row>
    <row r="112" spans="1:6" ht="49.5" customHeight="1">
      <c r="F112" s="111" t="s">
        <v>104</v>
      </c>
    </row>
    <row r="113" spans="2:9" ht="28.8">
      <c r="F113" s="133" t="s">
        <v>105</v>
      </c>
    </row>
    <row r="114" spans="2:9" ht="8.25" customHeight="1">
      <c r="F114" s="133"/>
    </row>
    <row r="115" spans="2:9" ht="43.2">
      <c r="F115" s="111" t="s">
        <v>106</v>
      </c>
    </row>
    <row r="116" spans="2:9" s="8" customFormat="1" ht="20.100000000000001" customHeight="1"/>
    <row r="117" spans="2:9" ht="28.8">
      <c r="E117" s="8" t="s">
        <v>0</v>
      </c>
      <c r="F117" s="111" t="s">
        <v>107</v>
      </c>
    </row>
    <row r="118" spans="2:9" ht="43.2">
      <c r="E118" s="8" t="s">
        <v>0</v>
      </c>
      <c r="F118" s="129" t="s">
        <v>108</v>
      </c>
    </row>
    <row r="119" spans="2:9" ht="28.8">
      <c r="E119" s="8" t="s">
        <v>0</v>
      </c>
      <c r="F119" s="129" t="s">
        <v>109</v>
      </c>
    </row>
    <row r="120" spans="2:9" ht="28.8">
      <c r="E120" s="8" t="s">
        <v>0</v>
      </c>
      <c r="F120" s="129" t="s">
        <v>110</v>
      </c>
    </row>
    <row r="123" spans="2:9" ht="15" thickBot="1">
      <c r="B123" s="236" t="s">
        <v>111</v>
      </c>
      <c r="C123" s="238"/>
      <c r="D123" s="238"/>
      <c r="E123" s="238"/>
      <c r="F123" s="239"/>
    </row>
    <row r="125" spans="2:9" s="8" customFormat="1" ht="20.100000000000001" customHeight="1">
      <c r="C125" s="131" t="s">
        <v>42</v>
      </c>
      <c r="D125" s="89"/>
      <c r="E125" s="89"/>
      <c r="F125" s="89"/>
      <c r="G125" s="89"/>
      <c r="H125" s="89"/>
      <c r="I125" s="89"/>
    </row>
    <row r="126" spans="2:9" s="8" customFormat="1">
      <c r="C126" s="173" t="s">
        <v>43</v>
      </c>
      <c r="E126" s="89"/>
      <c r="F126" s="89"/>
      <c r="G126" s="89"/>
      <c r="H126" s="89"/>
      <c r="I126" s="89"/>
    </row>
    <row r="127" spans="2:9" s="8" customFormat="1" ht="8.25" customHeight="1">
      <c r="C127" s="173"/>
      <c r="E127" s="89"/>
      <c r="F127" s="89"/>
      <c r="G127" s="89"/>
      <c r="H127" s="89"/>
      <c r="I127" s="89"/>
    </row>
    <row r="128" spans="2:9" s="8" customFormat="1">
      <c r="E128" s="89"/>
      <c r="F128" s="193" t="s">
        <v>44</v>
      </c>
      <c r="G128" s="89"/>
      <c r="H128" s="89"/>
      <c r="I128" s="89"/>
    </row>
    <row r="129" spans="3:10" s="8" customFormat="1">
      <c r="E129" s="89"/>
      <c r="F129" s="191" t="s">
        <v>45</v>
      </c>
      <c r="G129" s="89"/>
      <c r="H129" s="89"/>
      <c r="I129" s="89"/>
      <c r="J129" s="190"/>
    </row>
    <row r="130" spans="3:10" s="8" customFormat="1">
      <c r="E130" s="89"/>
      <c r="F130" s="192" t="s">
        <v>46</v>
      </c>
      <c r="G130" s="89"/>
      <c r="H130" s="89"/>
      <c r="I130" s="89"/>
      <c r="J130" s="190"/>
    </row>
    <row r="131" spans="3:10" s="8" customFormat="1" ht="10.5" customHeight="1">
      <c r="C131" s="131"/>
      <c r="D131" s="89"/>
      <c r="E131" s="89"/>
      <c r="F131" s="89"/>
      <c r="G131" s="89"/>
      <c r="H131" s="89"/>
      <c r="I131" s="89"/>
    </row>
    <row r="132" spans="3:10" ht="59.25" customHeight="1">
      <c r="D132" s="8" t="s">
        <v>0</v>
      </c>
      <c r="E132" s="524" t="s">
        <v>112</v>
      </c>
      <c r="F132" s="524"/>
    </row>
    <row r="133" spans="3:10" ht="113.25" customHeight="1">
      <c r="D133" s="8"/>
      <c r="E133" s="111"/>
      <c r="F133" s="169" t="s">
        <v>48</v>
      </c>
    </row>
    <row r="134" spans="3:10" ht="16.5" customHeight="1">
      <c r="D134" s="8"/>
      <c r="E134" s="111"/>
      <c r="F134" s="172"/>
    </row>
    <row r="135" spans="3:10">
      <c r="D135" t="s">
        <v>0</v>
      </c>
      <c r="E135" s="521" t="s">
        <v>49</v>
      </c>
      <c r="F135" s="521"/>
    </row>
    <row r="136" spans="3:10">
      <c r="D136" s="8"/>
      <c r="E136" s="132">
        <v>1</v>
      </c>
      <c r="F136" s="111" t="s">
        <v>113</v>
      </c>
    </row>
    <row r="137" spans="3:10" ht="47.25" customHeight="1">
      <c r="D137" s="8"/>
      <c r="E137" s="132"/>
      <c r="F137" s="147" t="s">
        <v>51</v>
      </c>
    </row>
    <row r="138" spans="3:10" ht="37.5" customHeight="1">
      <c r="D138" s="8"/>
      <c r="E138" s="132"/>
      <c r="F138" s="147" t="s">
        <v>114</v>
      </c>
    </row>
    <row r="139" spans="3:10" ht="28.8">
      <c r="D139" s="8"/>
      <c r="E139" s="132">
        <v>2</v>
      </c>
      <c r="F139" s="111" t="s">
        <v>53</v>
      </c>
    </row>
    <row r="140" spans="3:10">
      <c r="D140" s="8"/>
      <c r="E140" s="132">
        <v>3</v>
      </c>
      <c r="F140" s="111" t="s">
        <v>54</v>
      </c>
    </row>
    <row r="141" spans="3:10">
      <c r="D141" s="8"/>
      <c r="E141" s="132"/>
      <c r="F141" s="111" t="s">
        <v>55</v>
      </c>
    </row>
    <row r="142" spans="3:10">
      <c r="D142" s="8"/>
      <c r="E142" s="132"/>
      <c r="F142" s="111" t="s">
        <v>56</v>
      </c>
    </row>
    <row r="143" spans="3:10" ht="18" customHeight="1">
      <c r="D143" s="8"/>
      <c r="E143" s="132"/>
      <c r="F143" s="111" t="s">
        <v>57</v>
      </c>
    </row>
    <row r="144" spans="3:10" ht="36.75" customHeight="1">
      <c r="D144" s="8"/>
      <c r="E144" s="132"/>
      <c r="F144" s="111" t="s">
        <v>58</v>
      </c>
    </row>
    <row r="145" spans="3:6" ht="28.8">
      <c r="D145" s="8"/>
      <c r="E145" s="132">
        <v>4</v>
      </c>
      <c r="F145" s="111" t="s">
        <v>115</v>
      </c>
    </row>
    <row r="146" spans="3:6">
      <c r="D146" s="8"/>
      <c r="E146" s="8"/>
      <c r="F146" s="111"/>
    </row>
    <row r="148" spans="3:6" s="8" customFormat="1" ht="20.100000000000001" customHeight="1">
      <c r="C148" s="131" t="s">
        <v>60</v>
      </c>
    </row>
    <row r="149" spans="3:6" ht="28.8">
      <c r="D149" s="8" t="s">
        <v>0</v>
      </c>
      <c r="E149" s="8"/>
      <c r="F149" s="111" t="s">
        <v>61</v>
      </c>
    </row>
    <row r="150" spans="3:6" ht="43.2">
      <c r="D150" s="8" t="s">
        <v>0</v>
      </c>
      <c r="E150" s="8"/>
      <c r="F150" s="129" t="s">
        <v>62</v>
      </c>
    </row>
    <row r="151" spans="3:6" ht="28.8">
      <c r="D151" s="8" t="s">
        <v>0</v>
      </c>
      <c r="E151" s="8"/>
      <c r="F151" s="111" t="s">
        <v>63</v>
      </c>
    </row>
    <row r="152" spans="3:6">
      <c r="D152" s="8" t="s">
        <v>0</v>
      </c>
      <c r="F152" s="129" t="s">
        <v>116</v>
      </c>
    </row>
  </sheetData>
  <mergeCells count="8">
    <mergeCell ref="E135:F135"/>
    <mergeCell ref="E102:F102"/>
    <mergeCell ref="E103:F103"/>
    <mergeCell ref="E12:F12"/>
    <mergeCell ref="E15:F15"/>
    <mergeCell ref="E44:F44"/>
    <mergeCell ref="E46:F46"/>
    <mergeCell ref="E132:F132"/>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7446C-B296-4ED7-AFBA-7CCCAFC41F6F}">
  <sheetPr codeName="Sheet5"/>
  <dimension ref="A1:M258"/>
  <sheetViews>
    <sheetView zoomScale="80" zoomScaleNormal="80" workbookViewId="0">
      <pane xSplit="1" ySplit="2" topLeftCell="B15" activePane="bottomRight" state="frozen"/>
      <selection pane="topRight" activeCell="B53" sqref="B53"/>
      <selection pane="bottomLeft" activeCell="B53" sqref="B53"/>
      <selection pane="bottomRight" activeCell="K16" sqref="K16"/>
    </sheetView>
  </sheetViews>
  <sheetFormatPr baseColWidth="10" defaultColWidth="8.6640625" defaultRowHeight="14.4"/>
  <cols>
    <col min="1" max="1" width="29.44140625" bestFit="1" customWidth="1"/>
    <col min="2" max="2" width="1.88671875" style="109" bestFit="1" customWidth="1"/>
    <col min="3" max="3" width="42.5546875" bestFit="1" customWidth="1"/>
    <col min="4" max="4" width="1.44140625" style="109" customWidth="1"/>
    <col min="5" max="5" width="41.44140625" customWidth="1"/>
    <col min="6" max="8" width="40.88671875" customWidth="1"/>
    <col min="9" max="9" width="41.88671875" customWidth="1"/>
    <col min="10" max="10" width="40.88671875" customWidth="1"/>
    <col min="11" max="11" width="43" customWidth="1"/>
    <col min="12" max="12" width="40.88671875" customWidth="1"/>
  </cols>
  <sheetData>
    <row r="1" spans="1:13" ht="30" customHeight="1">
      <c r="A1" s="525" t="s">
        <v>117</v>
      </c>
      <c r="B1" s="525"/>
      <c r="C1" s="525"/>
      <c r="D1" s="114"/>
      <c r="E1" s="8" t="str">
        <f>Form!E4</f>
        <v>Select One…</v>
      </c>
      <c r="F1" s="100" t="s">
        <v>118</v>
      </c>
      <c r="G1" s="8"/>
      <c r="H1" s="8"/>
      <c r="I1" s="8"/>
      <c r="K1" s="8"/>
      <c r="L1" s="8"/>
    </row>
    <row r="2" spans="1:13">
      <c r="A2" s="9" t="s">
        <v>119</v>
      </c>
      <c r="B2" s="115"/>
      <c r="C2" s="9" t="s">
        <v>120</v>
      </c>
      <c r="D2" s="115"/>
      <c r="E2" s="9" t="s">
        <v>121</v>
      </c>
      <c r="F2" s="9" t="s">
        <v>122</v>
      </c>
      <c r="G2" s="9" t="s">
        <v>123</v>
      </c>
      <c r="H2" s="9" t="s">
        <v>124</v>
      </c>
      <c r="I2" s="9" t="s">
        <v>125</v>
      </c>
      <c r="J2" s="9" t="s">
        <v>126</v>
      </c>
      <c r="K2" s="9" t="s">
        <v>127</v>
      </c>
      <c r="L2" s="9" t="s">
        <v>128</v>
      </c>
      <c r="M2" s="9"/>
    </row>
    <row r="3" spans="1:13">
      <c r="A3" s="12" t="s">
        <v>129</v>
      </c>
      <c r="B3" s="12" t="s">
        <v>130</v>
      </c>
      <c r="C3" s="8" t="s">
        <v>131</v>
      </c>
      <c r="D3" s="109" t="s">
        <v>132</v>
      </c>
      <c r="E3" s="8" t="str">
        <f>CONCATENATE($C$3," (Język)")</f>
        <v>Language (Język)</v>
      </c>
      <c r="F3" s="8" t="s">
        <v>133</v>
      </c>
      <c r="G3" s="8" t="s">
        <v>134</v>
      </c>
      <c r="H3" s="8" t="s">
        <v>135</v>
      </c>
      <c r="I3" s="8" t="str">
        <f>CONCATENATE($C$3," (Langue)")</f>
        <v>Language (Langue)</v>
      </c>
      <c r="J3" s="8" t="str">
        <f>CONCATENATE($C$3," (Idioma)")</f>
        <v>Language (Idioma)</v>
      </c>
      <c r="K3" s="8" t="str">
        <f>CONCATENATE($C$3," (Sprache)")</f>
        <v>Language (Sprache)</v>
      </c>
      <c r="L3" s="22" t="str">
        <f>IF($E$1="English",Languages!C3,IF($E$1="Polish",Languages!E3,IF($E$1="Chinese 中文",Languages!F3,IF($E$1="Japanese 日本語",Languages!G3,IF($E$1="Korean 한국어",Languages!H3,IF($E$1="French",Languages!I3,IF($E$1="Spanish",Languages!J3,IF($E$1="German",Languages!K3,C3))))))))</f>
        <v>Language</v>
      </c>
    </row>
    <row r="4" spans="1:13" ht="151.80000000000001">
      <c r="A4" s="13" t="s">
        <v>136</v>
      </c>
      <c r="B4" s="13" t="s">
        <v>130</v>
      </c>
      <c r="C4" s="10" t="s">
        <v>137</v>
      </c>
      <c r="D4" s="171" t="s">
        <v>132</v>
      </c>
      <c r="E4" s="98" t="s">
        <v>138</v>
      </c>
      <c r="F4" s="98" t="s">
        <v>139</v>
      </c>
      <c r="G4" s="98" t="s">
        <v>140</v>
      </c>
      <c r="H4" s="98" t="s">
        <v>141</v>
      </c>
      <c r="I4" s="98" t="s">
        <v>142</v>
      </c>
      <c r="J4" s="98" t="s">
        <v>143</v>
      </c>
      <c r="K4" s="98" t="s">
        <v>144</v>
      </c>
      <c r="L4" s="10" t="str">
        <f>IF($E$1=$C$2,C4,IF($E$1=$E$2,E4,IF($E$1=$F$2,F4,IF($E$1=$G$2,G4,IF($E$1=$H$2,H4,IF($E$1=$I$2,I4,IF($E$1=$J$2,J4,IF($E$1=$K$2,K4,C4))))))))</f>
        <v>This form is used to gather information required by our financial department to pay your expenses, honoraria or other costs. RELX will not use this information for any other purpose than that mentioned above. This information MUST be received before any payment can be made. For terms and conditions we refer to the agreement made between you and your RELX legal trading entity.</v>
      </c>
      <c r="M4" s="11"/>
    </row>
    <row r="5" spans="1:13" ht="41.4">
      <c r="A5" s="13" t="s">
        <v>145</v>
      </c>
      <c r="B5" s="12" t="s">
        <v>130</v>
      </c>
      <c r="C5" s="10" t="s">
        <v>146</v>
      </c>
      <c r="D5" s="109" t="s">
        <v>132</v>
      </c>
      <c r="E5" s="10" t="s">
        <v>147</v>
      </c>
      <c r="F5" s="10" t="s">
        <v>148</v>
      </c>
      <c r="G5" s="10" t="s">
        <v>149</v>
      </c>
      <c r="H5" s="10" t="s">
        <v>150</v>
      </c>
      <c r="I5" s="10" t="s">
        <v>151</v>
      </c>
      <c r="J5" s="10" t="s">
        <v>152</v>
      </c>
      <c r="K5" s="10" t="s">
        <v>153</v>
      </c>
      <c r="L5" s="10" t="str">
        <f>IF($E$1=$C$2,C5,IF($E$1=$E$2,CONCATENATE(E5,B5,C5,D5),IF($E$1=$F$2,CONCATENATE(F5,B5,C5,D5),IF($E$1=$G$2,CONCATENATE(G5,B5,C5,D5),IF($E$1=$H$2,CONCATENATE(H5,B5,C5,D5),IF($E$1=$I$2,CONCATENATE(I5,B5,C5,D5),IF($E$1=$J$2,CONCATENATE(J5,B5,C5,D5),IF($E$1=$K$2,CONCATENATE(K5,B5,C5,D5),C5))))))))</f>
        <v>Please complete ALL required fields and submit as directed below.</v>
      </c>
      <c r="M5" s="10"/>
    </row>
    <row r="6" spans="1:13" ht="55.2">
      <c r="A6" s="13" t="s">
        <v>145</v>
      </c>
      <c r="B6" s="12" t="s">
        <v>130</v>
      </c>
      <c r="C6" s="10" t="s">
        <v>154</v>
      </c>
      <c r="E6" s="98" t="s">
        <v>155</v>
      </c>
      <c r="F6" s="98" t="s">
        <v>156</v>
      </c>
      <c r="G6" s="98" t="s">
        <v>157</v>
      </c>
      <c r="H6" s="98" t="s">
        <v>158</v>
      </c>
      <c r="I6" s="98" t="s">
        <v>159</v>
      </c>
      <c r="J6" s="98" t="s">
        <v>160</v>
      </c>
      <c r="K6" s="98" t="s">
        <v>161</v>
      </c>
      <c r="L6" s="10" t="str">
        <f>IF($E$1=$C$2,C6,IF($E$1=$E$2,E6,IF($E$1=$F$2,F6,IF($E$1=$G$2,G6,IF($E$1=$H$2,H6,IF($E$1=$I$2,I6,IF($E$1=$J$2,J6,IF($E$1=$K$2,K6,C6))))))))</f>
        <v>Please complete ALL required fields in this section and forward to your supplier contact for completion.</v>
      </c>
      <c r="M6" s="10"/>
    </row>
    <row r="7" spans="1:13" ht="82.8">
      <c r="A7" s="13" t="s">
        <v>162</v>
      </c>
      <c r="B7" s="12" t="s">
        <v>130</v>
      </c>
      <c r="C7" s="10" t="s">
        <v>163</v>
      </c>
      <c r="D7" s="109" t="s">
        <v>132</v>
      </c>
      <c r="E7" s="98" t="s">
        <v>164</v>
      </c>
      <c r="F7" s="98" t="s">
        <v>165</v>
      </c>
      <c r="G7" s="98" t="s">
        <v>166</v>
      </c>
      <c r="H7" s="98" t="s">
        <v>167</v>
      </c>
      <c r="I7" s="98" t="s">
        <v>168</v>
      </c>
      <c r="J7" s="98" t="s">
        <v>169</v>
      </c>
      <c r="K7" s="98" t="s">
        <v>170</v>
      </c>
      <c r="L7" s="10" t="str">
        <f>IF($E$1=$C$2,C7,IF($E$1=$E$2,E7,IF($E$1=$F$2,F7,IF($E$1=$G$2,G7,IF($E$1=$H$2,H7,IF($E$1=$I$2,I7,IF($E$1=$J$2,J7,IF($E$1=$K$2,K7,C7))))))))</f>
        <v>Click on the blue box to view important RELX Global invoicing requirements. Following these requirements will reduce the risk of late payments or invoice rejections. (Not applicable to US Authors)</v>
      </c>
      <c r="M7" s="10"/>
    </row>
    <row r="8" spans="1:13">
      <c r="A8" s="14" t="s">
        <v>171</v>
      </c>
      <c r="B8" s="13" t="s">
        <v>130</v>
      </c>
      <c r="C8" s="10" t="s">
        <v>172</v>
      </c>
      <c r="D8" s="116" t="s">
        <v>132</v>
      </c>
      <c r="E8" s="98" t="s">
        <v>173</v>
      </c>
      <c r="F8" s="98" t="s">
        <v>174</v>
      </c>
      <c r="G8" s="98" t="s">
        <v>175</v>
      </c>
      <c r="H8" s="98" t="s">
        <v>176</v>
      </c>
      <c r="I8" s="98" t="s">
        <v>177</v>
      </c>
      <c r="J8" s="98" t="s">
        <v>178</v>
      </c>
      <c r="K8" s="98" t="s">
        <v>179</v>
      </c>
      <c r="L8" s="10" t="str">
        <f t="shared" ref="L8:L39" si="0">IF($E$1=$C$2,C8,IF($E$1=$E$2,CONCATENATE(E8,B8,C8,D8),IF($E$1=$F$2,CONCATENATE(F8,B8,C8,D8),IF($E$1=$G$2,CONCATENATE(G8,B8,C8,D8),IF($E$1=$H$2,CONCATENATE(H8,B8,C8,D8),IF($E$1=$I$2,CONCATENATE(I8,B8,C8,D8),IF($E$1=$J$2,CONCATENATE(J8,B8,C8,D8),IF($E$1=$K$2,CONCATENATE(K8,B8,C8,D8),C8))))))))</f>
        <v>RELX Global Invoicing Requirements</v>
      </c>
    </row>
    <row r="9" spans="1:13">
      <c r="A9" s="14" t="s">
        <v>180</v>
      </c>
      <c r="B9" s="12" t="s">
        <v>130</v>
      </c>
      <c r="C9" s="10" t="s">
        <v>181</v>
      </c>
      <c r="D9" s="109" t="s">
        <v>132</v>
      </c>
      <c r="E9" s="85" t="s">
        <v>182</v>
      </c>
      <c r="F9" s="10" t="s">
        <v>183</v>
      </c>
      <c r="G9" s="10" t="s">
        <v>184</v>
      </c>
      <c r="H9" s="10" t="s">
        <v>185</v>
      </c>
      <c r="I9" s="85" t="s">
        <v>186</v>
      </c>
      <c r="J9" s="85" t="s">
        <v>187</v>
      </c>
      <c r="K9" s="85" t="s">
        <v>188</v>
      </c>
      <c r="L9" s="10" t="str">
        <f t="shared" si="0"/>
        <v>Required Field</v>
      </c>
    </row>
    <row r="10" spans="1:13" ht="27.6">
      <c r="A10" s="14" t="s">
        <v>189</v>
      </c>
      <c r="B10" s="13" t="s">
        <v>130</v>
      </c>
      <c r="C10" s="10" t="s">
        <v>190</v>
      </c>
      <c r="D10" s="116" t="s">
        <v>132</v>
      </c>
      <c r="E10" s="97" t="s">
        <v>191</v>
      </c>
      <c r="F10" s="98" t="s">
        <v>192</v>
      </c>
      <c r="G10" s="98" t="s">
        <v>193</v>
      </c>
      <c r="H10" s="98" t="s">
        <v>194</v>
      </c>
      <c r="I10" s="97" t="s">
        <v>195</v>
      </c>
      <c r="J10" s="97" t="s">
        <v>196</v>
      </c>
      <c r="K10" s="97" t="s">
        <v>197</v>
      </c>
      <c r="L10" s="10" t="str">
        <f>IF($E$1=$C$2,C10,IF($E$1=$E$2,E10,IF($E$1=$F$2,F10,IF($E$1=$G$2,G10,IF($E$1=$H$2,H10,IF($E$1=$I$2,I10,IF($E$1=$J$2,J10,IF($E$1=$K$2,K10,C10))))))))</f>
        <v>GLOBAL ACCOUNTS PAYABLE ENROLLMENT FORM</v>
      </c>
    </row>
    <row r="11" spans="1:13" ht="41.4">
      <c r="A11" s="14" t="s">
        <v>198</v>
      </c>
      <c r="B11" s="12" t="s">
        <v>130</v>
      </c>
      <c r="C11" s="10" t="s">
        <v>199</v>
      </c>
      <c r="D11" s="109" t="s">
        <v>132</v>
      </c>
      <c r="E11" s="97" t="s">
        <v>200</v>
      </c>
      <c r="F11" s="98" t="s">
        <v>201</v>
      </c>
      <c r="G11" s="98" t="s">
        <v>202</v>
      </c>
      <c r="H11" s="98" t="s">
        <v>203</v>
      </c>
      <c r="I11" s="97" t="s">
        <v>204</v>
      </c>
      <c r="J11" s="97" t="s">
        <v>205</v>
      </c>
      <c r="K11" s="97" t="s">
        <v>206</v>
      </c>
      <c r="L11" s="10" t="str">
        <f t="shared" si="0"/>
        <v>No invoices or royalty payments will be paid prior to receipt of completed forms and validation callback.</v>
      </c>
    </row>
    <row r="12" spans="1:13" ht="27.6">
      <c r="A12" s="14" t="s">
        <v>207</v>
      </c>
      <c r="B12" s="13" t="s">
        <v>130</v>
      </c>
      <c r="C12" s="10" t="s">
        <v>208</v>
      </c>
      <c r="D12" s="116" t="s">
        <v>132</v>
      </c>
      <c r="E12" s="97" t="s">
        <v>209</v>
      </c>
      <c r="F12" s="10" t="s">
        <v>210</v>
      </c>
      <c r="G12" s="10" t="s">
        <v>211</v>
      </c>
      <c r="H12" s="10" t="s">
        <v>212</v>
      </c>
      <c r="I12" s="85" t="s">
        <v>213</v>
      </c>
      <c r="J12" s="97" t="s">
        <v>214</v>
      </c>
      <c r="K12" s="97" t="s">
        <v>215</v>
      </c>
      <c r="L12" s="10" t="str">
        <f t="shared" si="0"/>
        <v>For internal use by LexisNexis Legal &amp; Professional and RELX</v>
      </c>
    </row>
    <row r="13" spans="1:13">
      <c r="A13" s="14" t="s">
        <v>216</v>
      </c>
      <c r="B13" s="12" t="s">
        <v>130</v>
      </c>
      <c r="C13" s="10" t="s">
        <v>217</v>
      </c>
      <c r="D13" s="109" t="s">
        <v>132</v>
      </c>
      <c r="E13" s="97" t="s">
        <v>218</v>
      </c>
      <c r="F13" s="10" t="s">
        <v>219</v>
      </c>
      <c r="G13" s="10" t="s">
        <v>220</v>
      </c>
      <c r="H13" s="10" t="s">
        <v>221</v>
      </c>
      <c r="I13" s="85" t="s">
        <v>222</v>
      </c>
      <c r="J13" s="97" t="s">
        <v>223</v>
      </c>
      <c r="K13" s="97" t="s">
        <v>224</v>
      </c>
      <c r="L13" s="10" t="str">
        <f t="shared" si="0"/>
        <v>Request Date</v>
      </c>
    </row>
    <row r="14" spans="1:13">
      <c r="A14" s="14" t="s">
        <v>34</v>
      </c>
      <c r="B14" s="13" t="s">
        <v>130</v>
      </c>
      <c r="C14" s="10" t="s">
        <v>225</v>
      </c>
      <c r="D14" s="116" t="s">
        <v>132</v>
      </c>
      <c r="E14" s="97" t="s">
        <v>226</v>
      </c>
      <c r="F14" s="97" t="s">
        <v>227</v>
      </c>
      <c r="G14" s="97" t="s">
        <v>228</v>
      </c>
      <c r="H14" s="97" t="s">
        <v>229</v>
      </c>
      <c r="I14" s="97" t="s">
        <v>230</v>
      </c>
      <c r="J14" s="97" t="s">
        <v>231</v>
      </c>
      <c r="K14" s="97" t="s">
        <v>232</v>
      </c>
      <c r="L14" s="10" t="str">
        <f t="shared" si="0"/>
        <v>Request Reason</v>
      </c>
    </row>
    <row r="15" spans="1:13">
      <c r="A15" s="14" t="s">
        <v>233</v>
      </c>
      <c r="B15" s="12" t="s">
        <v>130</v>
      </c>
      <c r="C15" s="10" t="s">
        <v>234</v>
      </c>
      <c r="D15" s="109" t="s">
        <v>132</v>
      </c>
      <c r="E15" s="97" t="s">
        <v>235</v>
      </c>
      <c r="F15" s="10" t="s">
        <v>236</v>
      </c>
      <c r="G15" s="10" t="s">
        <v>237</v>
      </c>
      <c r="H15" s="10" t="s">
        <v>238</v>
      </c>
      <c r="I15" s="85" t="s">
        <v>239</v>
      </c>
      <c r="J15" s="97" t="s">
        <v>240</v>
      </c>
      <c r="K15" s="97" t="s">
        <v>241</v>
      </c>
      <c r="L15" s="10" t="str">
        <f t="shared" si="0"/>
        <v>Supplier to change:</v>
      </c>
    </row>
    <row r="16" spans="1:13">
      <c r="A16" s="14" t="s">
        <v>242</v>
      </c>
      <c r="B16" s="13" t="s">
        <v>130</v>
      </c>
      <c r="C16" s="10" t="s">
        <v>243</v>
      </c>
      <c r="D16" s="116" t="s">
        <v>132</v>
      </c>
      <c r="E16" s="97" t="s">
        <v>244</v>
      </c>
      <c r="F16" s="10" t="s">
        <v>245</v>
      </c>
      <c r="G16" s="10" t="s">
        <v>246</v>
      </c>
      <c r="H16" s="10" t="s">
        <v>247</v>
      </c>
      <c r="I16" s="85" t="s">
        <v>248</v>
      </c>
      <c r="J16" s="97" t="s">
        <v>249</v>
      </c>
      <c r="K16" s="97" t="s">
        <v>250</v>
      </c>
      <c r="L16" s="10" t="str">
        <f t="shared" si="0"/>
        <v>Supplier Name</v>
      </c>
    </row>
    <row r="17" spans="1:12">
      <c r="A17" s="14" t="s">
        <v>251</v>
      </c>
      <c r="B17" s="12" t="s">
        <v>130</v>
      </c>
      <c r="C17" s="10" t="s">
        <v>252</v>
      </c>
      <c r="D17" s="109" t="s">
        <v>132</v>
      </c>
      <c r="E17" s="97" t="s">
        <v>253</v>
      </c>
      <c r="F17" s="10" t="s">
        <v>254</v>
      </c>
      <c r="G17" s="10" t="s">
        <v>255</v>
      </c>
      <c r="H17" s="10" t="s">
        <v>256</v>
      </c>
      <c r="I17" s="85" t="s">
        <v>257</v>
      </c>
      <c r="J17" s="97" t="s">
        <v>258</v>
      </c>
      <c r="K17" s="97" t="s">
        <v>259</v>
      </c>
      <c r="L17" s="10" t="str">
        <f t="shared" si="0"/>
        <v>Supplier #</v>
      </c>
    </row>
    <row r="18" spans="1:12" ht="41.4">
      <c r="A18" s="86" t="s">
        <v>260</v>
      </c>
      <c r="B18" s="13" t="s">
        <v>130</v>
      </c>
      <c r="C18" s="10" t="s">
        <v>261</v>
      </c>
      <c r="D18" s="116" t="s">
        <v>132</v>
      </c>
      <c r="E18" s="97" t="s">
        <v>262</v>
      </c>
      <c r="F18" s="98" t="s">
        <v>263</v>
      </c>
      <c r="G18" s="98" t="s">
        <v>264</v>
      </c>
      <c r="H18" s="98" t="s">
        <v>265</v>
      </c>
      <c r="I18" s="97" t="s">
        <v>266</v>
      </c>
      <c r="J18" s="97" t="s">
        <v>267</v>
      </c>
      <c r="K18" s="97" t="s">
        <v>268</v>
      </c>
      <c r="L18" s="10" t="str">
        <f>IF($E$1=$C$2,C18,IF($E$1=$E$2,E18,IF($E$1=$F$2,F18,IF($E$1=$G$2,G18,IF($E$1=$H$2,H18,IF($E$1=$I$2,I18,IF($E$1=$J$2,J18,IF($E$1=$K$2,K18,C18))))))))</f>
        <v>Leave blank if unknown. (Providing this information will assist AP in updating the supplier.)</v>
      </c>
    </row>
    <row r="19" spans="1:12">
      <c r="A19" s="14" t="s">
        <v>269</v>
      </c>
      <c r="B19" s="12" t="s">
        <v>130</v>
      </c>
      <c r="C19" s="10" t="s">
        <v>270</v>
      </c>
      <c r="D19" s="109" t="s">
        <v>132</v>
      </c>
      <c r="E19" s="97" t="s">
        <v>271</v>
      </c>
      <c r="F19" s="10" t="s">
        <v>272</v>
      </c>
      <c r="G19" s="10" t="s">
        <v>273</v>
      </c>
      <c r="H19" s="10" t="s">
        <v>274</v>
      </c>
      <c r="I19" s="85" t="s">
        <v>275</v>
      </c>
      <c r="J19" s="97" t="s">
        <v>276</v>
      </c>
      <c r="K19" s="97" t="s">
        <v>277</v>
      </c>
      <c r="L19" s="10" t="str">
        <f t="shared" si="0"/>
        <v>What needs to be changed:</v>
      </c>
    </row>
    <row r="20" spans="1:12">
      <c r="A20" s="14" t="s">
        <v>269</v>
      </c>
      <c r="B20" s="12" t="s">
        <v>130</v>
      </c>
      <c r="C20" s="10" t="s">
        <v>278</v>
      </c>
      <c r="E20" s="97" t="s">
        <v>279</v>
      </c>
      <c r="F20" s="98" t="s">
        <v>280</v>
      </c>
      <c r="G20" s="98" t="s">
        <v>281</v>
      </c>
      <c r="H20" s="98" t="s">
        <v>282</v>
      </c>
      <c r="I20" s="97" t="s">
        <v>283</v>
      </c>
      <c r="J20" s="97" t="s">
        <v>284</v>
      </c>
      <c r="K20" s="97" t="s">
        <v>285</v>
      </c>
      <c r="L20" s="10" t="str">
        <f t="shared" si="0"/>
        <v>What needs to be changed (other):</v>
      </c>
    </row>
    <row r="21" spans="1:12">
      <c r="A21" s="14" t="s">
        <v>286</v>
      </c>
      <c r="B21" s="13" t="s">
        <v>130</v>
      </c>
      <c r="C21" s="10" t="s">
        <v>287</v>
      </c>
      <c r="D21" s="116" t="s">
        <v>132</v>
      </c>
      <c r="E21" s="97" t="s">
        <v>288</v>
      </c>
      <c r="F21" s="10" t="s">
        <v>289</v>
      </c>
      <c r="G21" s="10" t="s">
        <v>290</v>
      </c>
      <c r="H21" s="10" t="s">
        <v>291</v>
      </c>
      <c r="I21" s="85" t="s">
        <v>292</v>
      </c>
      <c r="J21" s="97" t="s">
        <v>293</v>
      </c>
      <c r="K21" s="97" t="s">
        <v>294</v>
      </c>
      <c r="L21" s="10" t="str">
        <f t="shared" si="0"/>
        <v>Supplier Type</v>
      </c>
    </row>
    <row r="22" spans="1:12" ht="27.6">
      <c r="A22" s="14" t="s">
        <v>295</v>
      </c>
      <c r="B22" s="13" t="s">
        <v>130</v>
      </c>
      <c r="C22" s="10" t="s">
        <v>296</v>
      </c>
      <c r="D22" s="116" t="s">
        <v>132</v>
      </c>
      <c r="E22" s="97" t="s">
        <v>297</v>
      </c>
      <c r="F22" s="10" t="s">
        <v>298</v>
      </c>
      <c r="G22" s="10" t="s">
        <v>299</v>
      </c>
      <c r="H22" s="10" t="s">
        <v>300</v>
      </c>
      <c r="I22" s="85" t="s">
        <v>301</v>
      </c>
      <c r="J22" s="97" t="s">
        <v>302</v>
      </c>
      <c r="K22" s="97" t="s">
        <v>303</v>
      </c>
      <c r="L22" s="10" t="str">
        <f t="shared" si="0"/>
        <v>Is this a Matthew Bender Royalty supplier?</v>
      </c>
    </row>
    <row r="23" spans="1:12">
      <c r="A23" s="14" t="s">
        <v>304</v>
      </c>
      <c r="B23" s="13" t="s">
        <v>130</v>
      </c>
      <c r="C23" s="10" t="s">
        <v>305</v>
      </c>
      <c r="D23" s="116" t="s">
        <v>132</v>
      </c>
      <c r="E23" s="85"/>
      <c r="F23" s="10"/>
      <c r="G23" s="10"/>
      <c r="H23" s="10"/>
      <c r="I23" s="85"/>
      <c r="J23" s="85"/>
      <c r="K23" s="85"/>
      <c r="L23" s="10" t="str">
        <f>IF($E$1=$C$2,C23,IF($E$1=$E$2,E23,IF($E$1=$F$2,F23,IF($E$1=$G$2,G23,IF($E$1=$H$2,H23,IF($E$1=$I$2,I23,IF($E$1=$J$2,J23,IF($E$1=$K$2,K23,C23))))))))</f>
        <v>Is this a Flat Fee or Michie author?</v>
      </c>
    </row>
    <row r="24" spans="1:12" ht="27.6">
      <c r="A24" s="14" t="s">
        <v>306</v>
      </c>
      <c r="B24" s="12" t="s">
        <v>130</v>
      </c>
      <c r="C24" s="10" t="s">
        <v>307</v>
      </c>
      <c r="D24" s="109" t="s">
        <v>132</v>
      </c>
      <c r="E24" s="97" t="s">
        <v>308</v>
      </c>
      <c r="F24" s="10" t="s">
        <v>309</v>
      </c>
      <c r="G24" s="10" t="s">
        <v>310</v>
      </c>
      <c r="H24" s="10" t="s">
        <v>311</v>
      </c>
      <c r="I24" s="85" t="s">
        <v>312</v>
      </c>
      <c r="J24" s="97" t="s">
        <v>313</v>
      </c>
      <c r="K24" s="97" t="s">
        <v>314</v>
      </c>
      <c r="L24" s="10" t="str">
        <f t="shared" si="0"/>
        <v>Independent Contractor/Freelancer Location</v>
      </c>
    </row>
    <row r="25" spans="1:12">
      <c r="A25" s="14" t="s">
        <v>33</v>
      </c>
      <c r="B25" s="13" t="s">
        <v>130</v>
      </c>
      <c r="C25" s="10" t="s">
        <v>315</v>
      </c>
      <c r="D25" s="116" t="s">
        <v>132</v>
      </c>
      <c r="E25" s="97" t="s">
        <v>316</v>
      </c>
      <c r="F25" s="10" t="s">
        <v>317</v>
      </c>
      <c r="G25" s="10" t="s">
        <v>318</v>
      </c>
      <c r="H25" s="10" t="s">
        <v>319</v>
      </c>
      <c r="I25" s="85" t="s">
        <v>320</v>
      </c>
      <c r="J25" s="97" t="s">
        <v>321</v>
      </c>
      <c r="K25" s="97" t="s">
        <v>322</v>
      </c>
      <c r="L25" s="10" t="str">
        <f t="shared" si="0"/>
        <v>Requester Name</v>
      </c>
    </row>
    <row r="26" spans="1:12">
      <c r="A26" s="14" t="s">
        <v>323</v>
      </c>
      <c r="B26" s="12" t="s">
        <v>130</v>
      </c>
      <c r="C26" s="10" t="s">
        <v>324</v>
      </c>
      <c r="D26" s="109" t="s">
        <v>132</v>
      </c>
      <c r="E26" s="97" t="s">
        <v>325</v>
      </c>
      <c r="F26" s="10" t="s">
        <v>326</v>
      </c>
      <c r="G26" s="10" t="s">
        <v>327</v>
      </c>
      <c r="H26" s="10" t="s">
        <v>328</v>
      </c>
      <c r="I26" s="85" t="s">
        <v>329</v>
      </c>
      <c r="J26" s="97" t="s">
        <v>330</v>
      </c>
      <c r="K26" s="97" t="s">
        <v>331</v>
      </c>
      <c r="L26" s="10" t="str">
        <f t="shared" si="0"/>
        <v>Requester Email Address</v>
      </c>
    </row>
    <row r="27" spans="1:12">
      <c r="A27" s="14" t="s">
        <v>332</v>
      </c>
      <c r="B27" s="12" t="s">
        <v>130</v>
      </c>
      <c r="C27" s="10" t="s">
        <v>333</v>
      </c>
      <c r="D27" s="109" t="s">
        <v>132</v>
      </c>
      <c r="E27" s="97" t="s">
        <v>334</v>
      </c>
      <c r="F27" s="10" t="s">
        <v>335</v>
      </c>
      <c r="G27" s="10" t="s">
        <v>336</v>
      </c>
      <c r="H27" s="10" t="s">
        <v>337</v>
      </c>
      <c r="I27" s="85" t="s">
        <v>338</v>
      </c>
      <c r="J27" s="97" t="s">
        <v>339</v>
      </c>
      <c r="K27" s="97" t="s">
        <v>340</v>
      </c>
      <c r="L27" s="10" t="str">
        <f t="shared" si="0"/>
        <v>Business Division</v>
      </c>
    </row>
    <row r="28" spans="1:12">
      <c r="A28" s="14" t="s">
        <v>341</v>
      </c>
      <c r="B28" s="13" t="s">
        <v>130</v>
      </c>
      <c r="C28" s="10" t="s">
        <v>342</v>
      </c>
      <c r="D28" s="116" t="s">
        <v>132</v>
      </c>
      <c r="E28" s="97" t="s">
        <v>343</v>
      </c>
      <c r="F28" s="10" t="s">
        <v>344</v>
      </c>
      <c r="G28" s="10" t="s">
        <v>345</v>
      </c>
      <c r="H28" s="10" t="s">
        <v>346</v>
      </c>
      <c r="I28" s="85" t="s">
        <v>347</v>
      </c>
      <c r="J28" s="97" t="s">
        <v>348</v>
      </c>
      <c r="K28" s="97" t="s">
        <v>349</v>
      </c>
      <c r="L28" s="10" t="str">
        <f t="shared" si="0"/>
        <v>Business Region</v>
      </c>
    </row>
    <row r="29" spans="1:12">
      <c r="A29" s="14" t="s">
        <v>350</v>
      </c>
      <c r="B29" s="12" t="s">
        <v>130</v>
      </c>
      <c r="C29" s="10" t="s">
        <v>351</v>
      </c>
      <c r="D29" s="109" t="s">
        <v>132</v>
      </c>
      <c r="E29" s="97" t="s">
        <v>352</v>
      </c>
      <c r="F29" s="10" t="s">
        <v>353</v>
      </c>
      <c r="G29" s="10" t="s">
        <v>354</v>
      </c>
      <c r="H29" s="10" t="s">
        <v>355</v>
      </c>
      <c r="I29" s="85" t="s">
        <v>356</v>
      </c>
      <c r="J29" s="97" t="s">
        <v>357</v>
      </c>
      <c r="K29" s="97" t="s">
        <v>358</v>
      </c>
      <c r="L29" s="10" t="str">
        <f t="shared" si="0"/>
        <v>Pay Method</v>
      </c>
    </row>
    <row r="30" spans="1:12" ht="69">
      <c r="A30" s="14" t="s">
        <v>359</v>
      </c>
      <c r="B30" s="13" t="s">
        <v>130</v>
      </c>
      <c r="C30" s="10" t="s">
        <v>360</v>
      </c>
      <c r="D30" s="116" t="s">
        <v>132</v>
      </c>
      <c r="E30" s="97" t="s">
        <v>361</v>
      </c>
      <c r="F30" s="98" t="s">
        <v>362</v>
      </c>
      <c r="G30" s="98" t="s">
        <v>363</v>
      </c>
      <c r="H30" s="101" t="s">
        <v>364</v>
      </c>
      <c r="I30" s="97" t="s">
        <v>365</v>
      </c>
      <c r="J30" s="97" t="s">
        <v>366</v>
      </c>
      <c r="K30" s="97" t="s">
        <v>367</v>
      </c>
      <c r="L30" s="10" t="str">
        <f t="shared" si="0"/>
        <v>RELX standard payment method is Electronic. For any exceptions, email ap.globalvendormaintenance@lexisnexis.com for pre-approval.</v>
      </c>
    </row>
    <row r="31" spans="1:12" ht="41.4">
      <c r="A31" s="14" t="s">
        <v>368</v>
      </c>
      <c r="B31" s="13" t="s">
        <v>130</v>
      </c>
      <c r="C31" s="10" t="s">
        <v>369</v>
      </c>
      <c r="D31" s="116" t="s">
        <v>132</v>
      </c>
      <c r="E31" s="97" t="s">
        <v>370</v>
      </c>
      <c r="F31" s="98" t="s">
        <v>371</v>
      </c>
      <c r="G31" s="98" t="s">
        <v>372</v>
      </c>
      <c r="H31" s="101" t="s">
        <v>373</v>
      </c>
      <c r="I31" s="97" t="s">
        <v>374</v>
      </c>
      <c r="J31" s="97" t="s">
        <v>375</v>
      </c>
      <c r="K31" s="97" t="s">
        <v>376</v>
      </c>
      <c r="L31" s="10" t="str">
        <f t="shared" si="0"/>
        <v>Is there a signed agreement in place stating the Supplier payment terms? (Not applicable for Authors)</v>
      </c>
    </row>
    <row r="32" spans="1:12">
      <c r="A32" s="14" t="s">
        <v>377</v>
      </c>
      <c r="B32" s="13" t="s">
        <v>130</v>
      </c>
      <c r="C32" s="10" t="s">
        <v>378</v>
      </c>
      <c r="D32" s="116" t="s">
        <v>132</v>
      </c>
      <c r="E32" s="97" t="s">
        <v>379</v>
      </c>
      <c r="F32" s="98" t="s">
        <v>380</v>
      </c>
      <c r="G32" s="98" t="s">
        <v>381</v>
      </c>
      <c r="H32" s="101" t="s">
        <v>382</v>
      </c>
      <c r="I32" s="97" t="s">
        <v>383</v>
      </c>
      <c r="J32" s="97" t="s">
        <v>384</v>
      </c>
      <c r="K32" s="97" t="s">
        <v>385</v>
      </c>
      <c r="L32" s="10" t="str">
        <f t="shared" si="0"/>
        <v>Payment Terms</v>
      </c>
    </row>
    <row r="33" spans="1:12" ht="27.6">
      <c r="A33" s="14" t="s">
        <v>386</v>
      </c>
      <c r="B33" s="12" t="s">
        <v>130</v>
      </c>
      <c r="C33" s="10" t="s">
        <v>387</v>
      </c>
      <c r="D33" s="109" t="s">
        <v>132</v>
      </c>
      <c r="E33" s="97" t="s">
        <v>388</v>
      </c>
      <c r="F33" s="98" t="s">
        <v>389</v>
      </c>
      <c r="G33" s="98" t="s">
        <v>390</v>
      </c>
      <c r="H33" s="101" t="s">
        <v>391</v>
      </c>
      <c r="I33" s="97" t="s">
        <v>392</v>
      </c>
      <c r="J33" s="97" t="s">
        <v>393</v>
      </c>
      <c r="K33" s="97" t="s">
        <v>394</v>
      </c>
      <c r="L33" s="10" t="str">
        <f t="shared" si="0"/>
        <v>RELX standard payment terms are NET 45 Days.</v>
      </c>
    </row>
    <row r="34" spans="1:12" ht="25.5" customHeight="1">
      <c r="A34" s="14" t="s">
        <v>395</v>
      </c>
      <c r="B34" s="13" t="s">
        <v>130</v>
      </c>
      <c r="C34" s="10" t="s">
        <v>396</v>
      </c>
      <c r="D34" s="109" t="s">
        <v>132</v>
      </c>
      <c r="E34" s="97" t="s">
        <v>397</v>
      </c>
      <c r="F34" s="98" t="s">
        <v>398</v>
      </c>
      <c r="G34" s="98" t="s">
        <v>399</v>
      </c>
      <c r="H34" s="101" t="s">
        <v>400</v>
      </c>
      <c r="I34" s="97" t="s">
        <v>401</v>
      </c>
      <c r="J34" s="97" t="s">
        <v>402</v>
      </c>
      <c r="K34" s="97" t="s">
        <v>403</v>
      </c>
      <c r="L34" s="10" t="str">
        <f t="shared" si="0"/>
        <v>Indicate the agreed payment terms in writing. An APVM team member will be in touch to verify.</v>
      </c>
    </row>
    <row r="35" spans="1:12">
      <c r="A35" s="14" t="s">
        <v>404</v>
      </c>
      <c r="B35" s="13" t="s">
        <v>130</v>
      </c>
      <c r="C35" s="10" t="s">
        <v>405</v>
      </c>
      <c r="D35" s="116" t="s">
        <v>132</v>
      </c>
      <c r="E35" s="97" t="s">
        <v>406</v>
      </c>
      <c r="F35" s="10" t="s">
        <v>407</v>
      </c>
      <c r="G35" s="10" t="s">
        <v>408</v>
      </c>
      <c r="H35" s="10" t="s">
        <v>409</v>
      </c>
      <c r="I35" s="85" t="s">
        <v>410</v>
      </c>
      <c r="J35" s="97" t="s">
        <v>411</v>
      </c>
      <c r="K35" s="97" t="s">
        <v>412</v>
      </c>
      <c r="L35" s="10" t="str">
        <f t="shared" si="0"/>
        <v>Reason for new supplier setup</v>
      </c>
    </row>
    <row r="36" spans="1:12" ht="28.8">
      <c r="A36" s="14" t="s">
        <v>413</v>
      </c>
      <c r="B36" s="12" t="s">
        <v>130</v>
      </c>
      <c r="C36" s="10" t="s">
        <v>414</v>
      </c>
      <c r="D36" s="109" t="s">
        <v>132</v>
      </c>
      <c r="E36" s="97" t="s">
        <v>415</v>
      </c>
      <c r="F36" s="98" t="s">
        <v>416</v>
      </c>
      <c r="G36" s="98" t="s">
        <v>417</v>
      </c>
      <c r="H36" s="101" t="s">
        <v>418</v>
      </c>
      <c r="I36" s="97" t="s">
        <v>419</v>
      </c>
      <c r="J36" s="97" t="s">
        <v>420</v>
      </c>
      <c r="K36" s="97" t="s">
        <v>421</v>
      </c>
      <c r="L36" s="10" t="str">
        <f t="shared" si="0"/>
        <v>Is a Procurement contract in place? (Not applicable to US Authors)</v>
      </c>
    </row>
    <row r="37" spans="1:12" ht="43.2">
      <c r="A37" s="86" t="s">
        <v>422</v>
      </c>
      <c r="B37" s="12" t="s">
        <v>130</v>
      </c>
      <c r="C37" s="10" t="s">
        <v>423</v>
      </c>
      <c r="D37" s="109" t="s">
        <v>132</v>
      </c>
      <c r="E37" s="97" t="s">
        <v>424</v>
      </c>
      <c r="F37" s="98" t="s">
        <v>425</v>
      </c>
      <c r="G37" s="98" t="s">
        <v>426</v>
      </c>
      <c r="H37" s="101" t="s">
        <v>427</v>
      </c>
      <c r="I37" s="97" t="s">
        <v>428</v>
      </c>
      <c r="J37" s="97" t="s">
        <v>429</v>
      </c>
      <c r="K37" s="97" t="s">
        <v>430</v>
      </c>
      <c r="L37" s="10" t="str">
        <f t="shared" si="0"/>
        <v>If a Procurement contract is in place, please ensure that a copy is submitted to contracts@relx.com.</v>
      </c>
    </row>
    <row r="38" spans="1:12" ht="27.6">
      <c r="A38" s="14" t="s">
        <v>431</v>
      </c>
      <c r="B38" s="12" t="s">
        <v>130</v>
      </c>
      <c r="C38" s="10" t="s">
        <v>432</v>
      </c>
      <c r="D38" s="109" t="s">
        <v>132</v>
      </c>
      <c r="E38" s="97" t="s">
        <v>433</v>
      </c>
      <c r="F38" s="10" t="s">
        <v>434</v>
      </c>
      <c r="G38" s="10" t="s">
        <v>435</v>
      </c>
      <c r="H38" s="10" t="s">
        <v>436</v>
      </c>
      <c r="I38" s="85" t="s">
        <v>437</v>
      </c>
      <c r="J38" s="97" t="s">
        <v>438</v>
      </c>
      <c r="K38" s="97" t="s">
        <v>439</v>
      </c>
      <c r="L38" s="10" t="str">
        <f t="shared" si="0"/>
        <v>Is a purchase order required (have you worked with Procurement)?</v>
      </c>
    </row>
    <row r="39" spans="1:12" ht="27.6">
      <c r="A39" s="14" t="s">
        <v>440</v>
      </c>
      <c r="B39" s="13" t="s">
        <v>130</v>
      </c>
      <c r="C39" s="10" t="s">
        <v>441</v>
      </c>
      <c r="D39" s="116" t="s">
        <v>132</v>
      </c>
      <c r="E39" s="97" t="s">
        <v>442</v>
      </c>
      <c r="F39" s="98" t="s">
        <v>443</v>
      </c>
      <c r="G39" s="98" t="s">
        <v>444</v>
      </c>
      <c r="H39" s="98" t="s">
        <v>445</v>
      </c>
      <c r="I39" s="97" t="s">
        <v>446</v>
      </c>
      <c r="J39" s="97" t="s">
        <v>447</v>
      </c>
      <c r="K39" s="97" t="s">
        <v>448</v>
      </c>
      <c r="L39" s="10" t="str">
        <f t="shared" si="0"/>
        <v>PeopleSoft workflow coder/approver (if required):</v>
      </c>
    </row>
    <row r="40" spans="1:12" ht="96.6">
      <c r="A40" s="14" t="s">
        <v>449</v>
      </c>
      <c r="B40" s="12" t="s">
        <v>130</v>
      </c>
      <c r="C40" s="10" t="s">
        <v>450</v>
      </c>
      <c r="D40" s="109" t="s">
        <v>132</v>
      </c>
      <c r="E40" s="97" t="s">
        <v>451</v>
      </c>
      <c r="F40" s="10" t="s">
        <v>452</v>
      </c>
      <c r="G40" s="10" t="s">
        <v>453</v>
      </c>
      <c r="H40" s="89" t="s">
        <v>454</v>
      </c>
      <c r="I40" s="85" t="s">
        <v>455</v>
      </c>
      <c r="J40" s="97" t="s">
        <v>456</v>
      </c>
      <c r="K40" s="97" t="s">
        <v>457</v>
      </c>
      <c r="L40" s="10" t="str">
        <f>IF($E$1=$C$2,C40,IF($E$1=$E$2,E40,IF($E$1=$F$2,F40,IF($E$1=$G$2,G40,IF($E$1=$H$2,H40,IF($E$1=$I$2,I40,IF($E$1=$J$2,J40,IF($E$1=$K$2,K40,C40))))))))</f>
        <v>To the best of your knowledge, do you, any member of your family, any RELX employee, or any family member of a RELX employee have or have you or they ever had a financial interest (e.g. work for, consult with, have a financial obligation, or ownership or investment interest) in the supplier?</v>
      </c>
    </row>
    <row r="41" spans="1:12">
      <c r="A41" s="14" t="s">
        <v>458</v>
      </c>
      <c r="B41" s="13" t="s">
        <v>130</v>
      </c>
      <c r="C41" s="10" t="s">
        <v>459</v>
      </c>
      <c r="D41" s="116" t="s">
        <v>132</v>
      </c>
      <c r="E41" s="97" t="s">
        <v>460</v>
      </c>
      <c r="F41" s="10" t="s">
        <v>461</v>
      </c>
      <c r="G41" s="10" t="s">
        <v>462</v>
      </c>
      <c r="H41" s="10" t="s">
        <v>463</v>
      </c>
      <c r="I41" s="85" t="s">
        <v>464</v>
      </c>
      <c r="J41" s="97" t="s">
        <v>465</v>
      </c>
      <c r="K41" s="97" t="s">
        <v>466</v>
      </c>
      <c r="L41" s="10" t="str">
        <f>IF($E$1=$C$2,C41,IF($E$1=$E$2,CONCATENATE(E41,B41,C41,D41),IF($E$1=$F$2,CONCATENATE(F41,B41,C41,D41),IF($E$1=$G$2,CONCATENATE(G41,B41,C41,D41),IF($E$1=$H$2,CONCATENATE(H41,B41,C41,D41),IF($E$1=$I$2,CONCATENATE(I41,B41,C41,D41),IF($E$1=$J$2,CONCATENATE(J41,B41,C41,D41),IF($E$1=$K$2,CONCATENATE(K41,B41,C41,D41),C41))))))))</f>
        <v>Please explain</v>
      </c>
    </row>
    <row r="42" spans="1:12" ht="179.4">
      <c r="A42" s="14" t="s">
        <v>467</v>
      </c>
      <c r="B42" s="12" t="s">
        <v>130</v>
      </c>
      <c r="C42" s="10" t="s">
        <v>468</v>
      </c>
      <c r="D42" s="109" t="s">
        <v>132</v>
      </c>
      <c r="E42" s="97" t="s">
        <v>469</v>
      </c>
      <c r="F42" s="10" t="s">
        <v>470</v>
      </c>
      <c r="G42" s="10" t="s">
        <v>471</v>
      </c>
      <c r="H42" s="89" t="s">
        <v>472</v>
      </c>
      <c r="I42" s="85" t="s">
        <v>473</v>
      </c>
      <c r="J42" s="97" t="s">
        <v>474</v>
      </c>
      <c r="K42" s="97" t="s">
        <v>475</v>
      </c>
      <c r="L42" s="10" t="str">
        <f>IF($E$1=$C$2,C42,IF($E$1=$E$2,E42,IF($E$1=$F$2,F42,IF($E$1=$G$2,G42,IF($E$1=$H$2,H42,IF($E$1=$I$2,I42,IF($E$1=$J$2,J42,IF($E$1=$K$2,K42,C42))))))))</f>
        <v>By submitting this form, I certify that, to the best of my knowledge, the information contained in this form is accurate and I understand that any misrepresentations on this form could subject me to disciplinary action, up to and including termination of my employment.  I further agree to promptly notify Global Accounts Payable if I become aware of any additional information that would make the information in this form inaccurate so that the information on this form can be updated.</v>
      </c>
    </row>
    <row r="43" spans="1:12">
      <c r="A43" s="14" t="s">
        <v>476</v>
      </c>
      <c r="B43" s="13" t="s">
        <v>130</v>
      </c>
      <c r="C43" s="10" t="s">
        <v>477</v>
      </c>
      <c r="D43" s="116" t="s">
        <v>132</v>
      </c>
      <c r="E43" s="97" t="s">
        <v>478</v>
      </c>
      <c r="F43" s="10" t="s">
        <v>479</v>
      </c>
      <c r="G43" s="10" t="s">
        <v>480</v>
      </c>
      <c r="H43" s="10" t="s">
        <v>481</v>
      </c>
      <c r="I43" s="85" t="s">
        <v>482</v>
      </c>
      <c r="J43" s="97" t="s">
        <v>483</v>
      </c>
      <c r="K43" s="97" t="s">
        <v>484</v>
      </c>
      <c r="L43" s="10" t="str">
        <f t="shared" ref="L43:L91" si="1">IF($E$1=$C$2,C43,IF($E$1=$E$2,CONCATENATE(E43,B43,C43,D43),IF($E$1=$F$2,CONCATENATE(F43,B43,C43,D43),IF($E$1=$G$2,CONCATENATE(G43,B43,C43,D43),IF($E$1=$H$2,CONCATENATE(H43,B43,C43,D43),IF($E$1=$I$2,CONCATENATE(I43,B43,C43,D43),IF($E$1=$J$2,CONCATENATE(J43,B43,C43,D43),IF($E$1=$K$2,CONCATENATE(K43,B43,C43,D43),C43))))))))</f>
        <v>P2P (INTERNAL) USE ONLY</v>
      </c>
    </row>
    <row r="44" spans="1:12" ht="27.6">
      <c r="A44" s="14" t="s">
        <v>485</v>
      </c>
      <c r="B44" s="12" t="s">
        <v>130</v>
      </c>
      <c r="C44" s="10" t="s">
        <v>486</v>
      </c>
      <c r="D44" s="109" t="s">
        <v>132</v>
      </c>
      <c r="E44" s="97" t="s">
        <v>487</v>
      </c>
      <c r="F44" s="10" t="s">
        <v>488</v>
      </c>
      <c r="G44" s="10" t="s">
        <v>489</v>
      </c>
      <c r="H44" s="10" t="s">
        <v>490</v>
      </c>
      <c r="I44" s="85" t="s">
        <v>491</v>
      </c>
      <c r="J44" s="97" t="s">
        <v>492</v>
      </c>
      <c r="K44" s="97" t="s">
        <v>493</v>
      </c>
      <c r="L44" s="10" t="str">
        <f t="shared" si="1"/>
        <v xml:space="preserve">SUPPLIER INFORMATION (to be completed by the Supplier) </v>
      </c>
    </row>
    <row r="45" spans="1:12">
      <c r="A45" s="14" t="s">
        <v>494</v>
      </c>
      <c r="B45" s="12" t="s">
        <v>130</v>
      </c>
      <c r="C45" s="10" t="s">
        <v>495</v>
      </c>
      <c r="D45" s="109" t="s">
        <v>132</v>
      </c>
      <c r="E45" s="97" t="s">
        <v>496</v>
      </c>
      <c r="F45" s="10" t="s">
        <v>497</v>
      </c>
      <c r="G45" s="10" t="s">
        <v>498</v>
      </c>
      <c r="H45" s="10" t="s">
        <v>499</v>
      </c>
      <c r="I45" s="85" t="s">
        <v>500</v>
      </c>
      <c r="J45" s="97" t="s">
        <v>501</v>
      </c>
      <c r="K45" s="97" t="s">
        <v>502</v>
      </c>
      <c r="L45" s="10" t="str">
        <f t="shared" si="1"/>
        <v>What type of product is being provided?</v>
      </c>
    </row>
    <row r="46" spans="1:12" ht="27.6">
      <c r="A46" s="14" t="s">
        <v>503</v>
      </c>
      <c r="B46" s="12" t="s">
        <v>130</v>
      </c>
      <c r="C46" s="10" t="s">
        <v>504</v>
      </c>
      <c r="D46" s="109" t="s">
        <v>132</v>
      </c>
      <c r="E46" s="97" t="s">
        <v>505</v>
      </c>
      <c r="F46" s="10" t="s">
        <v>506</v>
      </c>
      <c r="G46" s="10" t="s">
        <v>507</v>
      </c>
      <c r="H46" s="10" t="s">
        <v>508</v>
      </c>
      <c r="I46" s="85" t="s">
        <v>509</v>
      </c>
      <c r="J46" s="97" t="s">
        <v>510</v>
      </c>
      <c r="K46" s="97" t="s">
        <v>511</v>
      </c>
      <c r="L46" s="10" t="str">
        <f t="shared" si="1"/>
        <v>What percentage of work is goods and what percentage is services?</v>
      </c>
    </row>
    <row r="47" spans="1:12">
      <c r="A47" s="14" t="s">
        <v>512</v>
      </c>
      <c r="B47" s="13" t="s">
        <v>130</v>
      </c>
      <c r="C47" s="10" t="s">
        <v>513</v>
      </c>
      <c r="D47" s="116" t="s">
        <v>132</v>
      </c>
      <c r="E47" s="97" t="s">
        <v>514</v>
      </c>
      <c r="F47" s="10" t="s">
        <v>515</v>
      </c>
      <c r="G47" s="10" t="s">
        <v>516</v>
      </c>
      <c r="H47" s="10" t="s">
        <v>517</v>
      </c>
      <c r="I47" s="85" t="s">
        <v>518</v>
      </c>
      <c r="J47" s="97" t="s">
        <v>519</v>
      </c>
      <c r="K47" s="97" t="s">
        <v>520</v>
      </c>
      <c r="L47" s="10" t="str">
        <f t="shared" si="1"/>
        <v>Where will services be performed?</v>
      </c>
    </row>
    <row r="48" spans="1:12" ht="27.6">
      <c r="A48" s="14" t="s">
        <v>521</v>
      </c>
      <c r="B48" s="12" t="s">
        <v>130</v>
      </c>
      <c r="C48" s="10" t="s">
        <v>522</v>
      </c>
      <c r="D48" s="109" t="s">
        <v>132</v>
      </c>
      <c r="E48" s="97" t="s">
        <v>523</v>
      </c>
      <c r="F48" s="10" t="s">
        <v>524</v>
      </c>
      <c r="G48" s="10" t="s">
        <v>525</v>
      </c>
      <c r="H48" s="10" t="s">
        <v>526</v>
      </c>
      <c r="I48" s="85" t="s">
        <v>527</v>
      </c>
      <c r="J48" s="97" t="s">
        <v>528</v>
      </c>
      <c r="K48" s="97" t="s">
        <v>529</v>
      </c>
      <c r="L48" s="10" t="str">
        <f t="shared" si="1"/>
        <v>What percentage of the work is performed within the United States?</v>
      </c>
    </row>
    <row r="49" spans="1:12" ht="27.6">
      <c r="A49" s="14" t="s">
        <v>530</v>
      </c>
      <c r="B49" s="13" t="s">
        <v>130</v>
      </c>
      <c r="C49" s="10" t="s">
        <v>531</v>
      </c>
      <c r="D49" s="116" t="s">
        <v>132</v>
      </c>
      <c r="E49" s="98" t="s">
        <v>532</v>
      </c>
      <c r="F49" s="10" t="s">
        <v>533</v>
      </c>
      <c r="G49" s="10" t="s">
        <v>534</v>
      </c>
      <c r="H49" s="10" t="s">
        <v>535</v>
      </c>
      <c r="I49" s="85" t="s">
        <v>536</v>
      </c>
      <c r="J49" s="97" t="s">
        <v>537</v>
      </c>
      <c r="K49" s="97" t="s">
        <v>538</v>
      </c>
      <c r="L49" s="10" t="str">
        <f t="shared" si="1"/>
        <v>What type of service will be performed?</v>
      </c>
    </row>
    <row r="50" spans="1:12">
      <c r="A50" s="14" t="s">
        <v>539</v>
      </c>
      <c r="B50" s="12" t="s">
        <v>130</v>
      </c>
      <c r="C50" s="10" t="s">
        <v>540</v>
      </c>
      <c r="D50" s="109" t="s">
        <v>132</v>
      </c>
      <c r="E50" s="98" t="s">
        <v>541</v>
      </c>
      <c r="F50" s="98" t="s">
        <v>542</v>
      </c>
      <c r="G50" s="98" t="s">
        <v>543</v>
      </c>
      <c r="H50" s="98" t="s">
        <v>544</v>
      </c>
      <c r="I50" s="98" t="s">
        <v>545</v>
      </c>
      <c r="J50" s="98" t="s">
        <v>546</v>
      </c>
      <c r="K50" s="98" t="s">
        <v>547</v>
      </c>
      <c r="L50" s="10" t="str">
        <f t="shared" si="1"/>
        <v>Supplier/Trading/Individual Name</v>
      </c>
    </row>
    <row r="51" spans="1:12">
      <c r="A51" s="14" t="s">
        <v>548</v>
      </c>
      <c r="B51" s="13" t="s">
        <v>130</v>
      </c>
      <c r="C51" s="10" t="s">
        <v>549</v>
      </c>
      <c r="D51" s="116" t="s">
        <v>132</v>
      </c>
      <c r="E51" s="10" t="s">
        <v>550</v>
      </c>
      <c r="F51" s="10" t="s">
        <v>551</v>
      </c>
      <c r="G51" s="10" t="s">
        <v>552</v>
      </c>
      <c r="H51" s="10" t="s">
        <v>553</v>
      </c>
      <c r="I51" s="10" t="s">
        <v>554</v>
      </c>
      <c r="J51" s="10" t="s">
        <v>555</v>
      </c>
      <c r="K51" s="10" t="s">
        <v>556</v>
      </c>
      <c r="L51" s="10" t="str">
        <f t="shared" si="1"/>
        <v>Postal Country</v>
      </c>
    </row>
    <row r="52" spans="1:12">
      <c r="A52" s="14" t="s">
        <v>557</v>
      </c>
      <c r="B52" s="12" t="s">
        <v>130</v>
      </c>
      <c r="C52" s="10" t="s">
        <v>558</v>
      </c>
      <c r="D52" s="109" t="s">
        <v>132</v>
      </c>
      <c r="E52" s="10" t="s">
        <v>559</v>
      </c>
      <c r="F52" s="10" t="s">
        <v>560</v>
      </c>
      <c r="G52" s="10" t="s">
        <v>561</v>
      </c>
      <c r="H52" s="10" t="s">
        <v>562</v>
      </c>
      <c r="I52" s="10" t="s">
        <v>563</v>
      </c>
      <c r="J52" s="10" t="s">
        <v>564</v>
      </c>
      <c r="K52" s="10" t="s">
        <v>565</v>
      </c>
      <c r="L52" s="10" t="str">
        <f t="shared" si="1"/>
        <v>Country of Tax Residence</v>
      </c>
    </row>
    <row r="53" spans="1:12">
      <c r="A53" s="14" t="s">
        <v>566</v>
      </c>
      <c r="B53" s="13" t="s">
        <v>130</v>
      </c>
      <c r="C53" s="10" t="s">
        <v>567</v>
      </c>
      <c r="D53" s="116" t="s">
        <v>132</v>
      </c>
      <c r="E53" s="10" t="s">
        <v>568</v>
      </c>
      <c r="F53" s="10" t="s">
        <v>569</v>
      </c>
      <c r="G53" s="10" t="s">
        <v>570</v>
      </c>
      <c r="H53" s="10" t="s">
        <v>571</v>
      </c>
      <c r="I53" s="10" t="s">
        <v>572</v>
      </c>
      <c r="J53" s="10" t="s">
        <v>573</v>
      </c>
      <c r="K53" s="10" t="s">
        <v>574</v>
      </c>
      <c r="L53" s="10" t="str">
        <f t="shared" si="1"/>
        <v>Address Line 1</v>
      </c>
    </row>
    <row r="54" spans="1:12">
      <c r="A54" s="14" t="s">
        <v>575</v>
      </c>
      <c r="B54" s="12" t="s">
        <v>130</v>
      </c>
      <c r="C54" s="10" t="s">
        <v>576</v>
      </c>
      <c r="D54" s="109" t="s">
        <v>132</v>
      </c>
      <c r="E54" s="10" t="s">
        <v>577</v>
      </c>
      <c r="F54" s="10" t="s">
        <v>578</v>
      </c>
      <c r="G54" s="10" t="s">
        <v>579</v>
      </c>
      <c r="H54" s="10" t="s">
        <v>580</v>
      </c>
      <c r="I54" s="10" t="s">
        <v>581</v>
      </c>
      <c r="J54" s="10" t="s">
        <v>582</v>
      </c>
      <c r="K54" s="10" t="s">
        <v>583</v>
      </c>
      <c r="L54" s="10" t="str">
        <f t="shared" si="1"/>
        <v>Address Line 2</v>
      </c>
    </row>
    <row r="55" spans="1:12">
      <c r="A55" s="14" t="s">
        <v>584</v>
      </c>
      <c r="B55" s="13" t="s">
        <v>130</v>
      </c>
      <c r="C55" s="10" t="s">
        <v>585</v>
      </c>
      <c r="D55" s="116" t="s">
        <v>132</v>
      </c>
      <c r="E55" s="10" t="s">
        <v>586</v>
      </c>
      <c r="F55" s="10" t="s">
        <v>587</v>
      </c>
      <c r="G55" s="10" t="s">
        <v>588</v>
      </c>
      <c r="H55" s="10" t="s">
        <v>589</v>
      </c>
      <c r="I55" s="10" t="s">
        <v>590</v>
      </c>
      <c r="J55" s="10" t="s">
        <v>591</v>
      </c>
      <c r="K55" s="10" t="s">
        <v>592</v>
      </c>
      <c r="L55" s="10" t="str">
        <f t="shared" si="1"/>
        <v>Address Line 3</v>
      </c>
    </row>
    <row r="56" spans="1:12">
      <c r="A56" s="14" t="s">
        <v>593</v>
      </c>
      <c r="B56" s="12" t="s">
        <v>130</v>
      </c>
      <c r="C56" s="10" t="s">
        <v>594</v>
      </c>
      <c r="D56" s="109" t="s">
        <v>132</v>
      </c>
      <c r="E56" s="10" t="s">
        <v>595</v>
      </c>
      <c r="F56" s="10" t="s">
        <v>596</v>
      </c>
      <c r="G56" s="10" t="s">
        <v>597</v>
      </c>
      <c r="H56" s="10" t="s">
        <v>598</v>
      </c>
      <c r="I56" s="10" t="s">
        <v>599</v>
      </c>
      <c r="J56" s="10" t="s">
        <v>600</v>
      </c>
      <c r="K56" s="10" t="s">
        <v>601</v>
      </c>
      <c r="L56" s="10" t="str">
        <f t="shared" si="1"/>
        <v>Address Line 4</v>
      </c>
    </row>
    <row r="57" spans="1:12">
      <c r="A57" s="14" t="s">
        <v>602</v>
      </c>
      <c r="B57" s="13" t="s">
        <v>130</v>
      </c>
      <c r="C57" s="10" t="s">
        <v>603</v>
      </c>
      <c r="D57" s="116" t="s">
        <v>132</v>
      </c>
      <c r="E57" s="10" t="s">
        <v>604</v>
      </c>
      <c r="F57" s="10" t="s">
        <v>605</v>
      </c>
      <c r="G57" s="10" t="s">
        <v>606</v>
      </c>
      <c r="H57" s="10" t="s">
        <v>607</v>
      </c>
      <c r="I57" s="10" t="s">
        <v>608</v>
      </c>
      <c r="J57" s="10" t="s">
        <v>609</v>
      </c>
      <c r="K57" s="10" t="s">
        <v>610</v>
      </c>
      <c r="L57" s="10" t="str">
        <f t="shared" si="1"/>
        <v>City</v>
      </c>
    </row>
    <row r="58" spans="1:12">
      <c r="A58" s="14" t="s">
        <v>611</v>
      </c>
      <c r="B58" s="12" t="s">
        <v>130</v>
      </c>
      <c r="C58" s="10" t="s">
        <v>612</v>
      </c>
      <c r="D58" s="109" t="s">
        <v>132</v>
      </c>
      <c r="E58" s="10" t="s">
        <v>613</v>
      </c>
      <c r="F58" s="10" t="s">
        <v>614</v>
      </c>
      <c r="G58" s="10" t="s">
        <v>615</v>
      </c>
      <c r="H58" s="10" t="s">
        <v>616</v>
      </c>
      <c r="I58" s="10" t="s">
        <v>617</v>
      </c>
      <c r="J58" s="10" t="s">
        <v>618</v>
      </c>
      <c r="K58" s="10" t="s">
        <v>619</v>
      </c>
      <c r="L58" s="10" t="str">
        <f t="shared" si="1"/>
        <v>Postal/Zip Code</v>
      </c>
    </row>
    <row r="59" spans="1:12" ht="27.9" customHeight="1">
      <c r="A59" s="14" t="s">
        <v>620</v>
      </c>
      <c r="B59" s="13" t="s">
        <v>130</v>
      </c>
      <c r="C59" s="10" t="s">
        <v>621</v>
      </c>
      <c r="D59" s="116" t="s">
        <v>132</v>
      </c>
      <c r="E59" s="10" t="s">
        <v>622</v>
      </c>
      <c r="F59" s="10" t="s">
        <v>623</v>
      </c>
      <c r="G59" s="10" t="s">
        <v>624</v>
      </c>
      <c r="H59" s="10" t="s">
        <v>625</v>
      </c>
      <c r="I59" s="10" t="s">
        <v>626</v>
      </c>
      <c r="J59" s="10" t="s">
        <v>627</v>
      </c>
      <c r="K59" s="10" t="s">
        <v>628</v>
      </c>
      <c r="L59" s="10" t="str">
        <f t="shared" si="1"/>
        <v xml:space="preserve">Contact Name (change if different from payable/remit to) </v>
      </c>
    </row>
    <row r="60" spans="1:12" ht="27.9" customHeight="1">
      <c r="A60" s="14" t="s">
        <v>629</v>
      </c>
      <c r="B60" s="12" t="s">
        <v>130</v>
      </c>
      <c r="C60" s="10" t="s">
        <v>630</v>
      </c>
      <c r="D60" s="109" t="s">
        <v>132</v>
      </c>
      <c r="E60" s="98" t="s">
        <v>631</v>
      </c>
      <c r="F60" s="10" t="s">
        <v>632</v>
      </c>
      <c r="G60" s="10" t="s">
        <v>633</v>
      </c>
      <c r="H60" s="10" t="s">
        <v>634</v>
      </c>
      <c r="I60" s="10" t="s">
        <v>635</v>
      </c>
      <c r="J60" s="98" t="s">
        <v>636</v>
      </c>
      <c r="K60" s="98" t="s">
        <v>637</v>
      </c>
      <c r="L60" s="10" t="str">
        <f t="shared" si="1"/>
        <v>Address for Purchase Orders (if different than Remit/Payee address):</v>
      </c>
    </row>
    <row r="61" spans="1:12" ht="27.6">
      <c r="A61" s="14" t="s">
        <v>638</v>
      </c>
      <c r="B61" s="12" t="s">
        <v>130</v>
      </c>
      <c r="C61" s="10" t="s">
        <v>639</v>
      </c>
      <c r="D61" s="109" t="s">
        <v>132</v>
      </c>
      <c r="E61" s="10" t="s">
        <v>640</v>
      </c>
      <c r="F61" s="10" t="s">
        <v>641</v>
      </c>
      <c r="G61" s="10" t="s">
        <v>642</v>
      </c>
      <c r="H61" s="89" t="s">
        <v>643</v>
      </c>
      <c r="I61" s="10" t="s">
        <v>644</v>
      </c>
      <c r="J61" s="10" t="s">
        <v>645</v>
      </c>
      <c r="K61" s="10" t="s">
        <v>646</v>
      </c>
      <c r="L61" s="10" t="str">
        <f t="shared" si="1"/>
        <v>Supplier/Payee Email Address for Purchase Orders</v>
      </c>
    </row>
    <row r="62" spans="1:12" ht="41.4">
      <c r="A62" s="14" t="s">
        <v>647</v>
      </c>
      <c r="B62" s="13" t="s">
        <v>130</v>
      </c>
      <c r="C62" s="10" t="s">
        <v>648</v>
      </c>
      <c r="D62" s="116" t="s">
        <v>132</v>
      </c>
      <c r="E62" s="10" t="s">
        <v>649</v>
      </c>
      <c r="F62" s="10" t="s">
        <v>650</v>
      </c>
      <c r="G62" s="10" t="s">
        <v>651</v>
      </c>
      <c r="H62" s="10" t="s">
        <v>652</v>
      </c>
      <c r="I62" s="10" t="s">
        <v>653</v>
      </c>
      <c r="J62" s="10" t="s">
        <v>654</v>
      </c>
      <c r="K62" s="10" t="s">
        <v>655</v>
      </c>
      <c r="L62" s="10" t="str">
        <f t="shared" si="1"/>
        <v>Supplier/Payee Email Address for Payment Remittance</v>
      </c>
    </row>
    <row r="63" spans="1:12" ht="27.6">
      <c r="A63" s="14" t="s">
        <v>656</v>
      </c>
      <c r="B63" s="12" t="s">
        <v>130</v>
      </c>
      <c r="C63" s="10" t="s">
        <v>657</v>
      </c>
      <c r="D63" s="109" t="s">
        <v>132</v>
      </c>
      <c r="E63" s="10" t="s">
        <v>658</v>
      </c>
      <c r="F63" s="10" t="s">
        <v>659</v>
      </c>
      <c r="G63" s="10" t="s">
        <v>660</v>
      </c>
      <c r="H63" s="10" t="s">
        <v>661</v>
      </c>
      <c r="I63" s="10" t="s">
        <v>662</v>
      </c>
      <c r="J63" s="10" t="s">
        <v>663</v>
      </c>
      <c r="K63" s="15" t="s">
        <v>664</v>
      </c>
      <c r="L63" s="10" t="str">
        <f t="shared" si="1"/>
        <v xml:space="preserve">Additional Contact Email (if applicable) </v>
      </c>
    </row>
    <row r="64" spans="1:12">
      <c r="A64" s="14" t="s">
        <v>665</v>
      </c>
      <c r="B64" s="13" t="s">
        <v>130</v>
      </c>
      <c r="C64" s="10" t="s">
        <v>666</v>
      </c>
      <c r="D64" s="116" t="s">
        <v>132</v>
      </c>
      <c r="E64" s="10" t="s">
        <v>667</v>
      </c>
      <c r="F64" s="10" t="s">
        <v>668</v>
      </c>
      <c r="G64" s="10" t="s">
        <v>669</v>
      </c>
      <c r="H64" s="10" t="s">
        <v>670</v>
      </c>
      <c r="I64" s="10" t="s">
        <v>671</v>
      </c>
      <c r="J64" s="10" t="s">
        <v>672</v>
      </c>
      <c r="K64" s="10" t="s">
        <v>673</v>
      </c>
      <c r="L64" s="10" t="str">
        <f t="shared" si="1"/>
        <v>Supplier/Payee Phone Number</v>
      </c>
    </row>
    <row r="65" spans="1:12">
      <c r="A65" s="14" t="s">
        <v>674</v>
      </c>
      <c r="B65" s="12" t="s">
        <v>130</v>
      </c>
      <c r="C65" s="10" t="s">
        <v>675</v>
      </c>
      <c r="D65" s="109" t="s">
        <v>132</v>
      </c>
      <c r="E65" s="98" t="s">
        <v>676</v>
      </c>
      <c r="F65" s="10" t="s">
        <v>677</v>
      </c>
      <c r="G65" s="10" t="s">
        <v>678</v>
      </c>
      <c r="H65" s="10" t="s">
        <v>679</v>
      </c>
      <c r="I65" s="10" t="s">
        <v>680</v>
      </c>
      <c r="J65" s="98" t="s">
        <v>681</v>
      </c>
      <c r="K65" s="98" t="s">
        <v>682</v>
      </c>
      <c r="L65" s="10" t="str">
        <f t="shared" si="1"/>
        <v>Fax Number</v>
      </c>
    </row>
    <row r="66" spans="1:12" ht="27.6">
      <c r="A66" s="14" t="s">
        <v>683</v>
      </c>
      <c r="B66" s="12" t="s">
        <v>130</v>
      </c>
      <c r="C66" s="10" t="s">
        <v>684</v>
      </c>
      <c r="D66" s="109" t="s">
        <v>132</v>
      </c>
      <c r="E66" s="98" t="s">
        <v>685</v>
      </c>
      <c r="F66" s="98" t="s">
        <v>686</v>
      </c>
      <c r="G66" s="98" t="s">
        <v>687</v>
      </c>
      <c r="H66" s="98" t="s">
        <v>688</v>
      </c>
      <c r="I66" s="98" t="s">
        <v>689</v>
      </c>
      <c r="J66" s="98" t="s">
        <v>690</v>
      </c>
      <c r="K66" s="98" t="s">
        <v>691</v>
      </c>
      <c r="L66" s="10" t="str">
        <f t="shared" si="1"/>
        <v>If address change only, skip to row 166.</v>
      </c>
    </row>
    <row r="67" spans="1:12">
      <c r="A67" s="14" t="s">
        <v>692</v>
      </c>
      <c r="B67" s="13" t="s">
        <v>130</v>
      </c>
      <c r="C67" s="10" t="s">
        <v>693</v>
      </c>
      <c r="D67" s="116" t="s">
        <v>132</v>
      </c>
      <c r="E67" s="98" t="s">
        <v>694</v>
      </c>
      <c r="F67" s="10" t="s">
        <v>695</v>
      </c>
      <c r="G67" s="10" t="s">
        <v>696</v>
      </c>
      <c r="H67" s="10" t="s">
        <v>697</v>
      </c>
      <c r="I67" s="10" t="s">
        <v>698</v>
      </c>
      <c r="J67" s="98" t="s">
        <v>699</v>
      </c>
      <c r="K67" s="98" t="s">
        <v>700</v>
      </c>
      <c r="L67" s="10" t="str">
        <f t="shared" si="1"/>
        <v xml:space="preserve">Individual Tax Identification # (ITIN) </v>
      </c>
    </row>
    <row r="68" spans="1:12">
      <c r="A68" s="14" t="s">
        <v>701</v>
      </c>
      <c r="B68" s="12" t="s">
        <v>130</v>
      </c>
      <c r="C68" s="10" t="s">
        <v>702</v>
      </c>
      <c r="D68" s="109" t="s">
        <v>132</v>
      </c>
      <c r="E68" s="98" t="s">
        <v>703</v>
      </c>
      <c r="F68" s="10" t="s">
        <v>704</v>
      </c>
      <c r="G68" s="10" t="s">
        <v>705</v>
      </c>
      <c r="H68" s="10" t="s">
        <v>706</v>
      </c>
      <c r="I68" s="10" t="s">
        <v>707</v>
      </c>
      <c r="J68" s="98" t="s">
        <v>708</v>
      </c>
      <c r="K68" s="98" t="s">
        <v>709</v>
      </c>
      <c r="L68" s="10" t="str">
        <f t="shared" si="1"/>
        <v>Foreign Tax #</v>
      </c>
    </row>
    <row r="69" spans="1:12">
      <c r="A69" s="94" t="s">
        <v>710</v>
      </c>
      <c r="B69" s="13" t="s">
        <v>130</v>
      </c>
      <c r="C69" s="10" t="s">
        <v>711</v>
      </c>
      <c r="D69" s="116" t="s">
        <v>132</v>
      </c>
      <c r="E69" s="10"/>
      <c r="F69" s="10"/>
      <c r="G69" s="10"/>
      <c r="H69" s="10"/>
      <c r="I69" s="10"/>
      <c r="J69" s="10"/>
      <c r="K69" s="10" t="s">
        <v>712</v>
      </c>
      <c r="L69" s="10" t="str">
        <f t="shared" si="1"/>
        <v xml:space="preserve">VAT Code (%) </v>
      </c>
    </row>
    <row r="70" spans="1:12">
      <c r="A70" s="94" t="s">
        <v>713</v>
      </c>
      <c r="B70" s="12" t="s">
        <v>130</v>
      </c>
      <c r="C70" s="10" t="s">
        <v>714</v>
      </c>
      <c r="D70" s="109" t="s">
        <v>132</v>
      </c>
      <c r="E70" s="10"/>
      <c r="F70" s="10"/>
      <c r="G70" s="10"/>
      <c r="H70" s="10"/>
      <c r="I70" s="10"/>
      <c r="J70" s="10"/>
      <c r="K70" s="10" t="s">
        <v>715</v>
      </c>
      <c r="L70" s="10" t="str">
        <f t="shared" si="1"/>
        <v>VAT # / German Tax ID</v>
      </c>
    </row>
    <row r="71" spans="1:12">
      <c r="A71" s="94" t="s">
        <v>716</v>
      </c>
      <c r="B71" s="13" t="s">
        <v>130</v>
      </c>
      <c r="C71" s="10" t="s">
        <v>717</v>
      </c>
      <c r="D71" s="116" t="s">
        <v>132</v>
      </c>
      <c r="E71" s="10"/>
      <c r="F71" s="10"/>
      <c r="G71" s="10"/>
      <c r="H71" s="10"/>
      <c r="I71" s="10"/>
      <c r="J71" s="10"/>
      <c r="K71" s="10" t="s">
        <v>718</v>
      </c>
      <c r="L71" s="10" t="str">
        <f t="shared" si="1"/>
        <v>Foreign Club Membership</v>
      </c>
    </row>
    <row r="72" spans="1:12">
      <c r="A72" s="94" t="s">
        <v>719</v>
      </c>
      <c r="B72" s="12" t="s">
        <v>130</v>
      </c>
      <c r="C72" s="10" t="s">
        <v>720</v>
      </c>
      <c r="D72" s="109" t="s">
        <v>132</v>
      </c>
      <c r="E72" s="10"/>
      <c r="F72" s="10"/>
      <c r="G72" s="10"/>
      <c r="H72" s="10"/>
      <c r="I72" s="10" t="s">
        <v>721</v>
      </c>
      <c r="J72" s="10"/>
      <c r="K72" s="10"/>
      <c r="L72" s="10" t="str">
        <f t="shared" si="1"/>
        <v>Type of Service Provided</v>
      </c>
    </row>
    <row r="73" spans="1:12">
      <c r="A73" s="94" t="s">
        <v>722</v>
      </c>
      <c r="B73" s="13" t="s">
        <v>130</v>
      </c>
      <c r="C73" s="10" t="s">
        <v>723</v>
      </c>
      <c r="D73" s="116" t="s">
        <v>132</v>
      </c>
      <c r="E73" s="10"/>
      <c r="F73" s="10"/>
      <c r="G73" s="10"/>
      <c r="H73" s="10"/>
      <c r="I73" s="10" t="s">
        <v>724</v>
      </c>
      <c r="J73" s="10"/>
      <c r="K73" s="10"/>
      <c r="L73" s="10" t="str">
        <f t="shared" si="1"/>
        <v>Do you have an AGESSA or MDA Exemption?</v>
      </c>
    </row>
    <row r="74" spans="1:12">
      <c r="A74" s="94" t="s">
        <v>725</v>
      </c>
      <c r="B74" s="12" t="s">
        <v>130</v>
      </c>
      <c r="C74" s="10" t="s">
        <v>726</v>
      </c>
      <c r="D74" s="109" t="s">
        <v>132</v>
      </c>
      <c r="E74" s="10"/>
      <c r="F74" s="10"/>
      <c r="G74" s="10"/>
      <c r="H74" s="10"/>
      <c r="I74" s="10" t="s">
        <v>727</v>
      </c>
      <c r="J74" s="10"/>
      <c r="K74" s="10"/>
      <c r="L74" s="10" t="str">
        <f t="shared" si="1"/>
        <v>MDA Registration Number</v>
      </c>
    </row>
    <row r="75" spans="1:12">
      <c r="A75" s="94" t="s">
        <v>728</v>
      </c>
      <c r="B75" s="13" t="s">
        <v>130</v>
      </c>
      <c r="C75" s="10" t="s">
        <v>729</v>
      </c>
      <c r="D75" s="116" t="s">
        <v>132</v>
      </c>
      <c r="E75" s="10"/>
      <c r="F75" s="10"/>
      <c r="G75" s="10"/>
      <c r="H75" s="10"/>
      <c r="I75" s="10" t="s">
        <v>730</v>
      </c>
      <c r="J75" s="10"/>
      <c r="K75" s="10"/>
      <c r="L75" s="10" t="str">
        <f t="shared" si="1"/>
        <v>SIRET/Social Security Number</v>
      </c>
    </row>
    <row r="76" spans="1:12">
      <c r="A76" s="94" t="s">
        <v>731</v>
      </c>
      <c r="B76" s="12" t="s">
        <v>130</v>
      </c>
      <c r="C76" s="10" t="s">
        <v>732</v>
      </c>
      <c r="D76" s="109" t="s">
        <v>132</v>
      </c>
      <c r="E76" s="10"/>
      <c r="F76" s="10"/>
      <c r="G76" s="10"/>
      <c r="H76" s="10"/>
      <c r="I76" s="10"/>
      <c r="J76" s="10" t="s">
        <v>733</v>
      </c>
      <c r="K76" s="10"/>
      <c r="L76" s="10" t="str">
        <f t="shared" si="1"/>
        <v>If an individual, are you registered for VAT?</v>
      </c>
    </row>
    <row r="77" spans="1:12">
      <c r="A77" s="94" t="s">
        <v>734</v>
      </c>
      <c r="B77" s="13" t="s">
        <v>130</v>
      </c>
      <c r="C77" s="10" t="s">
        <v>735</v>
      </c>
      <c r="D77" s="116" t="s">
        <v>132</v>
      </c>
      <c r="E77" s="10"/>
      <c r="F77" s="10"/>
      <c r="G77" s="10"/>
      <c r="H77" s="10"/>
      <c r="I77" s="10"/>
      <c r="J77" s="10" t="s">
        <v>736</v>
      </c>
      <c r="K77" s="10"/>
      <c r="L77" s="10" t="str">
        <f t="shared" si="1"/>
        <v xml:space="preserve">CIF/DNI/NIE Number (Tax ID) </v>
      </c>
    </row>
    <row r="78" spans="1:12">
      <c r="A78" s="94" t="s">
        <v>737</v>
      </c>
      <c r="B78" s="12" t="s">
        <v>130</v>
      </c>
      <c r="C78" s="10" t="s">
        <v>738</v>
      </c>
      <c r="D78" s="109" t="s">
        <v>132</v>
      </c>
      <c r="E78" s="10"/>
      <c r="F78" s="10"/>
      <c r="G78" s="10"/>
      <c r="H78" s="10"/>
      <c r="I78" s="10"/>
      <c r="J78" s="10" t="s">
        <v>739</v>
      </c>
      <c r="K78" s="10"/>
      <c r="L78" s="10" t="str">
        <f t="shared" si="1"/>
        <v>Start date of professional activity</v>
      </c>
    </row>
    <row r="79" spans="1:12" ht="27.6">
      <c r="A79" s="94" t="s">
        <v>740</v>
      </c>
      <c r="B79" s="13" t="s">
        <v>130</v>
      </c>
      <c r="C79" s="10" t="s">
        <v>741</v>
      </c>
      <c r="D79" s="116" t="s">
        <v>132</v>
      </c>
      <c r="E79" s="10"/>
      <c r="F79" s="10"/>
      <c r="G79" s="10"/>
      <c r="H79" s="10"/>
      <c r="I79" s="10"/>
      <c r="J79" s="10" t="s">
        <v>742</v>
      </c>
      <c r="K79" s="10"/>
      <c r="L79" s="10" t="str">
        <f t="shared" si="1"/>
        <v>Do you have a withholding tax exemption certificate?</v>
      </c>
    </row>
    <row r="80" spans="1:12" ht="27.6">
      <c r="A80" s="94" t="s">
        <v>743</v>
      </c>
      <c r="B80" s="12" t="s">
        <v>130</v>
      </c>
      <c r="C80" s="10" t="s">
        <v>744</v>
      </c>
      <c r="D80" s="109" t="s">
        <v>132</v>
      </c>
      <c r="E80" s="10"/>
      <c r="F80" s="10"/>
      <c r="G80" s="10"/>
      <c r="H80" s="10"/>
      <c r="I80" s="10"/>
      <c r="J80" s="10" t="s">
        <v>745</v>
      </c>
      <c r="K80" s="10"/>
      <c r="L80" s="10" t="str">
        <f t="shared" si="1"/>
        <v>Are you able to provide the Tax Residence Certificate?</v>
      </c>
    </row>
    <row r="81" spans="1:12" ht="27.6">
      <c r="A81" s="14" t="s">
        <v>746</v>
      </c>
      <c r="B81" s="13" t="s">
        <v>130</v>
      </c>
      <c r="C81" s="10" t="s">
        <v>747</v>
      </c>
      <c r="D81" s="116" t="s">
        <v>132</v>
      </c>
      <c r="E81" s="10" t="s">
        <v>748</v>
      </c>
      <c r="F81" s="10" t="s">
        <v>749</v>
      </c>
      <c r="G81" s="10" t="s">
        <v>750</v>
      </c>
      <c r="H81" s="10" t="s">
        <v>751</v>
      </c>
      <c r="I81" s="10" t="s">
        <v>752</v>
      </c>
      <c r="J81" s="10" t="s">
        <v>753</v>
      </c>
      <c r="K81" s="10" t="s">
        <v>754</v>
      </c>
      <c r="L81" s="10" t="str">
        <f t="shared" si="1"/>
        <v xml:space="preserve">Last 4 digits of prior bank account (for security purposes) </v>
      </c>
    </row>
    <row r="82" spans="1:12">
      <c r="A82" s="14" t="s">
        <v>755</v>
      </c>
      <c r="B82" s="12" t="s">
        <v>130</v>
      </c>
      <c r="C82" s="10" t="s">
        <v>756</v>
      </c>
      <c r="D82" s="109" t="s">
        <v>132</v>
      </c>
      <c r="E82" s="98" t="s">
        <v>757</v>
      </c>
      <c r="F82" s="98" t="s">
        <v>758</v>
      </c>
      <c r="G82" s="98" t="s">
        <v>759</v>
      </c>
      <c r="H82" s="98" t="s">
        <v>760</v>
      </c>
      <c r="I82" s="98" t="s">
        <v>761</v>
      </c>
      <c r="J82" s="98" t="s">
        <v>762</v>
      </c>
      <c r="K82" s="98" t="s">
        <v>763</v>
      </c>
      <c r="L82" s="10" t="str">
        <f t="shared" si="1"/>
        <v>Invoice Currency</v>
      </c>
    </row>
    <row r="83" spans="1:12">
      <c r="A83" s="14" t="s">
        <v>764</v>
      </c>
      <c r="B83" s="13" t="s">
        <v>130</v>
      </c>
      <c r="C83" s="10" t="s">
        <v>765</v>
      </c>
      <c r="D83" s="116" t="s">
        <v>132</v>
      </c>
      <c r="E83" s="10" t="s">
        <v>766</v>
      </c>
      <c r="F83" s="10" t="s">
        <v>767</v>
      </c>
      <c r="G83" s="10" t="s">
        <v>768</v>
      </c>
      <c r="H83" s="10" t="s">
        <v>769</v>
      </c>
      <c r="I83" s="10" t="s">
        <v>770</v>
      </c>
      <c r="J83" s="10" t="s">
        <v>771</v>
      </c>
      <c r="K83" s="10" t="s">
        <v>772</v>
      </c>
      <c r="L83" s="10" t="str">
        <f t="shared" si="1"/>
        <v>Other</v>
      </c>
    </row>
    <row r="84" spans="1:12">
      <c r="A84" s="14" t="s">
        <v>773</v>
      </c>
      <c r="B84" s="12" t="s">
        <v>130</v>
      </c>
      <c r="C84" s="10" t="s">
        <v>774</v>
      </c>
      <c r="D84" s="109" t="s">
        <v>132</v>
      </c>
      <c r="E84" s="10" t="s">
        <v>775</v>
      </c>
      <c r="F84" s="10" t="s">
        <v>776</v>
      </c>
      <c r="G84" s="10" t="s">
        <v>777</v>
      </c>
      <c r="H84" s="10" t="s">
        <v>778</v>
      </c>
      <c r="I84" s="10" t="s">
        <v>779</v>
      </c>
      <c r="J84" s="10" t="s">
        <v>780</v>
      </c>
      <c r="K84" s="10" t="s">
        <v>781</v>
      </c>
      <c r="L84" s="10" t="str">
        <f t="shared" si="1"/>
        <v>Tax Form Requirements</v>
      </c>
    </row>
    <row r="85" spans="1:12">
      <c r="A85" s="14" t="s">
        <v>782</v>
      </c>
      <c r="B85" s="13" t="s">
        <v>130</v>
      </c>
      <c r="C85" s="10" t="s">
        <v>783</v>
      </c>
      <c r="D85" s="116" t="s">
        <v>132</v>
      </c>
      <c r="E85" s="10" t="s">
        <v>784</v>
      </c>
      <c r="F85" s="10" t="s">
        <v>785</v>
      </c>
      <c r="G85" s="10" t="s">
        <v>786</v>
      </c>
      <c r="H85" s="10" t="s">
        <v>787</v>
      </c>
      <c r="I85" s="10" t="s">
        <v>788</v>
      </c>
      <c r="J85" s="10" t="s">
        <v>789</v>
      </c>
      <c r="K85" s="10" t="s">
        <v>790</v>
      </c>
      <c r="L85" s="10" t="str">
        <f t="shared" si="1"/>
        <v>Account Holder Name</v>
      </c>
    </row>
    <row r="86" spans="1:12">
      <c r="A86" s="14" t="s">
        <v>791</v>
      </c>
      <c r="B86" s="13" t="s">
        <v>130</v>
      </c>
      <c r="C86" s="10" t="s">
        <v>791</v>
      </c>
      <c r="D86" s="116" t="s">
        <v>132</v>
      </c>
      <c r="E86" s="10" t="s">
        <v>792</v>
      </c>
      <c r="F86" s="10" t="s">
        <v>793</v>
      </c>
      <c r="G86" s="10" t="s">
        <v>794</v>
      </c>
      <c r="H86" s="10" t="s">
        <v>795</v>
      </c>
      <c r="I86" s="10" t="s">
        <v>796</v>
      </c>
      <c r="J86" s="10" t="s">
        <v>797</v>
      </c>
      <c r="K86" s="10" t="s">
        <v>798</v>
      </c>
      <c r="L86" s="10" t="str">
        <f t="shared" si="1"/>
        <v>Bank Name</v>
      </c>
    </row>
    <row r="87" spans="1:12">
      <c r="A87" s="14" t="s">
        <v>799</v>
      </c>
      <c r="B87" s="12" t="s">
        <v>130</v>
      </c>
      <c r="C87" s="10" t="s">
        <v>799</v>
      </c>
      <c r="D87" s="109" t="s">
        <v>132</v>
      </c>
      <c r="E87" s="98" t="s">
        <v>800</v>
      </c>
      <c r="F87" s="10" t="s">
        <v>801</v>
      </c>
      <c r="G87" s="10" t="s">
        <v>802</v>
      </c>
      <c r="H87" s="10" t="s">
        <v>803</v>
      </c>
      <c r="I87" s="10" t="s">
        <v>804</v>
      </c>
      <c r="J87" s="98" t="s">
        <v>805</v>
      </c>
      <c r="K87" s="98" t="s">
        <v>806</v>
      </c>
      <c r="L87" s="10" t="str">
        <f t="shared" si="1"/>
        <v>Branch Name</v>
      </c>
    </row>
    <row r="88" spans="1:12">
      <c r="A88" s="14" t="s">
        <v>807</v>
      </c>
      <c r="B88" s="13" t="s">
        <v>130</v>
      </c>
      <c r="C88" s="10" t="s">
        <v>807</v>
      </c>
      <c r="D88" s="116" t="s">
        <v>132</v>
      </c>
      <c r="E88" s="10" t="s">
        <v>808</v>
      </c>
      <c r="F88" s="10" t="s">
        <v>809</v>
      </c>
      <c r="G88" s="10" t="s">
        <v>810</v>
      </c>
      <c r="H88" s="10" t="s">
        <v>811</v>
      </c>
      <c r="I88" s="10" t="s">
        <v>812</v>
      </c>
      <c r="J88" s="10" t="s">
        <v>813</v>
      </c>
      <c r="K88" s="10" t="s">
        <v>814</v>
      </c>
      <c r="L88" s="10" t="str">
        <f t="shared" si="1"/>
        <v>Bank Country</v>
      </c>
    </row>
    <row r="89" spans="1:12">
      <c r="A89" s="14" t="s">
        <v>815</v>
      </c>
      <c r="B89" s="12" t="s">
        <v>130</v>
      </c>
      <c r="C89" s="10" t="s">
        <v>815</v>
      </c>
      <c r="D89" s="109" t="s">
        <v>132</v>
      </c>
      <c r="E89" s="10" t="s">
        <v>816</v>
      </c>
      <c r="F89" s="10" t="s">
        <v>817</v>
      </c>
      <c r="G89" s="10" t="s">
        <v>818</v>
      </c>
      <c r="H89" s="10" t="s">
        <v>819</v>
      </c>
      <c r="I89" s="10" t="s">
        <v>820</v>
      </c>
      <c r="J89" s="10" t="s">
        <v>821</v>
      </c>
      <c r="K89" s="10" t="s">
        <v>822</v>
      </c>
      <c r="L89" s="10" t="str">
        <f t="shared" si="1"/>
        <v>Bank Account Number</v>
      </c>
    </row>
    <row r="90" spans="1:12" ht="27.6">
      <c r="A90" s="14" t="s">
        <v>823</v>
      </c>
      <c r="B90" s="13" t="s">
        <v>130</v>
      </c>
      <c r="C90" s="10" t="s">
        <v>823</v>
      </c>
      <c r="D90" s="116" t="s">
        <v>132</v>
      </c>
      <c r="E90" s="10" t="s">
        <v>824</v>
      </c>
      <c r="F90" s="10" t="s">
        <v>825</v>
      </c>
      <c r="G90" s="10" t="s">
        <v>826</v>
      </c>
      <c r="H90" s="10"/>
      <c r="I90" s="10" t="s">
        <v>827</v>
      </c>
      <c r="J90" s="10" t="s">
        <v>828</v>
      </c>
      <c r="K90" s="10" t="s">
        <v>829</v>
      </c>
      <c r="L90" s="10" t="str">
        <f t="shared" si="1"/>
        <v>Bank Code</v>
      </c>
    </row>
    <row r="91" spans="1:12" ht="15" customHeight="1">
      <c r="A91" s="14" t="s">
        <v>830</v>
      </c>
      <c r="B91" s="12" t="s">
        <v>130</v>
      </c>
      <c r="C91" s="10" t="s">
        <v>830</v>
      </c>
      <c r="D91" s="109" t="s">
        <v>132</v>
      </c>
      <c r="E91" s="10" t="s">
        <v>831</v>
      </c>
      <c r="F91" s="10" t="s">
        <v>832</v>
      </c>
      <c r="G91" s="10" t="s">
        <v>833</v>
      </c>
      <c r="H91" s="10"/>
      <c r="I91" s="10" t="s">
        <v>834</v>
      </c>
      <c r="J91" s="10" t="s">
        <v>835</v>
      </c>
      <c r="K91" s="10" t="s">
        <v>836</v>
      </c>
      <c r="L91" s="10" t="str">
        <f t="shared" si="1"/>
        <v>Sort/Branch Code</v>
      </c>
    </row>
    <row r="92" spans="1:12">
      <c r="A92" s="14" t="s">
        <v>837</v>
      </c>
      <c r="B92" s="13" t="s">
        <v>130</v>
      </c>
      <c r="C92" s="10" t="s">
        <v>838</v>
      </c>
      <c r="D92" s="116" t="s">
        <v>132</v>
      </c>
      <c r="E92" s="10" t="s">
        <v>838</v>
      </c>
      <c r="F92" s="10" t="s">
        <v>838</v>
      </c>
      <c r="G92" s="10" t="s">
        <v>838</v>
      </c>
      <c r="H92" s="10" t="s">
        <v>838</v>
      </c>
      <c r="I92" s="10" t="s">
        <v>838</v>
      </c>
      <c r="J92" s="10" t="s">
        <v>838</v>
      </c>
      <c r="K92" s="10" t="s">
        <v>838</v>
      </c>
      <c r="L92" s="10" t="str">
        <f>IF($E$1=$C$2,C92,IF($E$1=$E$2,E92,IF($E$1=$F$2,F92,IF($E$1=$G$2,G92,IF($E$1=$H$2,H92,IF($E$1=$I$2,I92,IF($E$1=$J$2,J92,IF($E$1=$K$2,K92,C92))))))))</f>
        <v>ACH Routing Code</v>
      </c>
    </row>
    <row r="93" spans="1:12">
      <c r="A93" s="14" t="s">
        <v>839</v>
      </c>
      <c r="B93" s="12" t="s">
        <v>130</v>
      </c>
      <c r="C93" s="10" t="s">
        <v>839</v>
      </c>
      <c r="D93" s="109" t="s">
        <v>132</v>
      </c>
      <c r="E93" s="10" t="s">
        <v>840</v>
      </c>
      <c r="F93" s="10" t="s">
        <v>841</v>
      </c>
      <c r="G93" s="10" t="s">
        <v>842</v>
      </c>
      <c r="H93" s="10"/>
      <c r="I93" s="10" t="s">
        <v>843</v>
      </c>
      <c r="J93" s="10" t="s">
        <v>844</v>
      </c>
      <c r="K93" s="98" t="s">
        <v>845</v>
      </c>
      <c r="L93" s="10" t="str">
        <f t="shared" ref="L93:L100" si="2">IF($E$1=$C$2,C93,IF($E$1=$E$2,CONCATENATE(E93,B93,C93,D93),IF($E$1=$F$2,CONCATENATE(F93,B93,C93,D93),IF($E$1=$G$2,CONCATENATE(G93,B93,C93,D93),IF($E$1=$H$2,CONCATENATE(H93,B93,C93,D93),IF($E$1=$I$2,CONCATENATE(I93,B93,C93,D93),IF($E$1=$J$2,CONCATENATE(J93,B93,C93,D93),IF($E$1=$K$2,CONCATENATE(K93,B93,C93,D93),C93))))))))</f>
        <v>IBAN Number</v>
      </c>
    </row>
    <row r="94" spans="1:12">
      <c r="A94" s="14" t="s">
        <v>846</v>
      </c>
      <c r="B94" s="13" t="s">
        <v>130</v>
      </c>
      <c r="C94" s="10" t="s">
        <v>847</v>
      </c>
      <c r="D94" s="116" t="s">
        <v>132</v>
      </c>
      <c r="E94" s="10" t="s">
        <v>848</v>
      </c>
      <c r="F94" s="10" t="s">
        <v>849</v>
      </c>
      <c r="G94" s="10" t="s">
        <v>850</v>
      </c>
      <c r="H94" s="89" t="s">
        <v>851</v>
      </c>
      <c r="I94" s="10" t="s">
        <v>852</v>
      </c>
      <c r="J94" s="10" t="s">
        <v>853</v>
      </c>
      <c r="K94" s="10" t="s">
        <v>854</v>
      </c>
      <c r="L94" s="10" t="str">
        <f t="shared" si="2"/>
        <v>BIC / SWIFT Code</v>
      </c>
    </row>
    <row r="95" spans="1:12" ht="27.6">
      <c r="A95" s="14" t="s">
        <v>855</v>
      </c>
      <c r="B95" s="13" t="s">
        <v>130</v>
      </c>
      <c r="C95" s="10" t="s">
        <v>856</v>
      </c>
      <c r="D95" s="116" t="s">
        <v>132</v>
      </c>
      <c r="E95" s="98" t="s">
        <v>857</v>
      </c>
      <c r="F95" s="98" t="s">
        <v>858</v>
      </c>
      <c r="G95" s="98" t="s">
        <v>859</v>
      </c>
      <c r="H95" s="101" t="s">
        <v>860</v>
      </c>
      <c r="I95" s="98" t="s">
        <v>861</v>
      </c>
      <c r="J95" s="98" t="s">
        <v>862</v>
      </c>
      <c r="K95" s="98" t="s">
        <v>863</v>
      </c>
      <c r="L95" s="10" t="str">
        <f t="shared" si="2"/>
        <v>SWIFT code is required for foreign payments only.</v>
      </c>
    </row>
    <row r="96" spans="1:12">
      <c r="A96" s="14" t="s">
        <v>864</v>
      </c>
      <c r="B96" s="12" t="s">
        <v>130</v>
      </c>
      <c r="C96" s="10" t="s">
        <v>865</v>
      </c>
      <c r="D96" s="109" t="s">
        <v>132</v>
      </c>
      <c r="E96" s="10"/>
      <c r="F96" s="10" t="s">
        <v>866</v>
      </c>
      <c r="G96" s="10" t="s">
        <v>867</v>
      </c>
      <c r="H96" s="10" t="s">
        <v>868</v>
      </c>
      <c r="I96" s="10"/>
      <c r="J96" s="10"/>
      <c r="K96" s="10"/>
      <c r="L96" s="10" t="str">
        <f t="shared" si="2"/>
        <v>Purpose Code for Cross-border payments (Wire)</v>
      </c>
    </row>
    <row r="97" spans="1:12">
      <c r="A97" s="14" t="s">
        <v>869</v>
      </c>
      <c r="B97" s="12" t="s">
        <v>130</v>
      </c>
      <c r="C97" s="10" t="s">
        <v>869</v>
      </c>
      <c r="D97" s="109" t="s">
        <v>132</v>
      </c>
      <c r="E97" s="98" t="s">
        <v>870</v>
      </c>
      <c r="F97" s="10" t="s">
        <v>871</v>
      </c>
      <c r="G97" s="10" t="s">
        <v>872</v>
      </c>
      <c r="H97" s="10" t="s">
        <v>873</v>
      </c>
      <c r="I97" s="10" t="s">
        <v>874</v>
      </c>
      <c r="J97" s="98" t="s">
        <v>875</v>
      </c>
      <c r="K97" s="98" t="s">
        <v>876</v>
      </c>
      <c r="L97" s="10" t="str">
        <f t="shared" si="2"/>
        <v>FORM SUBMISSION</v>
      </c>
    </row>
    <row r="98" spans="1:12">
      <c r="A98" s="14" t="s">
        <v>877</v>
      </c>
      <c r="B98" s="13" t="s">
        <v>130</v>
      </c>
      <c r="C98" s="10" t="s">
        <v>878</v>
      </c>
      <c r="D98" s="116" t="s">
        <v>132</v>
      </c>
      <c r="E98" s="98" t="s">
        <v>878</v>
      </c>
      <c r="F98" s="10" t="s">
        <v>879</v>
      </c>
      <c r="G98" s="10" t="s">
        <v>880</v>
      </c>
      <c r="H98" s="10" t="s">
        <v>881</v>
      </c>
      <c r="I98" s="10" t="s">
        <v>878</v>
      </c>
      <c r="J98" s="98" t="s">
        <v>882</v>
      </c>
      <c r="K98" s="98" t="s">
        <v>878</v>
      </c>
      <c r="L98" s="10" t="str">
        <f t="shared" si="2"/>
        <v>Email</v>
      </c>
    </row>
    <row r="99" spans="1:12">
      <c r="A99" s="14" t="s">
        <v>883</v>
      </c>
      <c r="B99" s="12" t="s">
        <v>130</v>
      </c>
      <c r="C99" s="10" t="s">
        <v>884</v>
      </c>
      <c r="D99" s="109" t="s">
        <v>132</v>
      </c>
      <c r="E99" s="10" t="s">
        <v>885</v>
      </c>
      <c r="F99" s="10" t="s">
        <v>886</v>
      </c>
      <c r="G99" s="10" t="s">
        <v>887</v>
      </c>
      <c r="H99" s="89" t="s">
        <v>888</v>
      </c>
      <c r="I99" s="10" t="s">
        <v>889</v>
      </c>
      <c r="J99" s="10" t="s">
        <v>890</v>
      </c>
      <c r="K99" s="10" t="s">
        <v>891</v>
      </c>
      <c r="L99" s="10" t="str">
        <f t="shared" si="2"/>
        <v>Secure Fax Number</v>
      </c>
    </row>
    <row r="100" spans="1:12">
      <c r="A100" s="14" t="s">
        <v>892</v>
      </c>
      <c r="B100" s="13" t="s">
        <v>130</v>
      </c>
      <c r="C100" s="10" t="s">
        <v>893</v>
      </c>
      <c r="D100" s="116" t="s">
        <v>132</v>
      </c>
      <c r="E100" s="10" t="s">
        <v>894</v>
      </c>
      <c r="F100" s="10" t="s">
        <v>895</v>
      </c>
      <c r="G100" s="10" t="s">
        <v>896</v>
      </c>
      <c r="H100" s="10" t="s">
        <v>897</v>
      </c>
      <c r="I100" s="10" t="s">
        <v>898</v>
      </c>
      <c r="J100" s="10" t="s">
        <v>899</v>
      </c>
      <c r="K100" s="10" t="s">
        <v>900</v>
      </c>
      <c r="L100" s="10" t="str">
        <f t="shared" si="2"/>
        <v>Mailing Address</v>
      </c>
    </row>
    <row r="101" spans="1:12" ht="158.4">
      <c r="A101" s="14" t="s">
        <v>901</v>
      </c>
      <c r="B101" s="12" t="s">
        <v>130</v>
      </c>
      <c r="C101" s="89" t="s">
        <v>902</v>
      </c>
      <c r="D101" s="109" t="s">
        <v>132</v>
      </c>
      <c r="E101" s="101" t="s">
        <v>903</v>
      </c>
      <c r="F101" s="101" t="s">
        <v>904</v>
      </c>
      <c r="G101" s="101" t="s">
        <v>905</v>
      </c>
      <c r="H101" s="101" t="s">
        <v>906</v>
      </c>
      <c r="I101" s="101" t="s">
        <v>907</v>
      </c>
      <c r="J101" s="101" t="s">
        <v>908</v>
      </c>
      <c r="K101" s="101" t="s">
        <v>909</v>
      </c>
      <c r="L101" s="10" t="str">
        <f>IF($E$1=$C$2,C101,IF($E$1=$E$2,E101,IF($E$1=$F$2,F101,IF($E$1=$G$2,G101,IF($E$1=$H$2,H101,IF($E$1=$I$2,I101,IF($E$1=$J$2,J101,IF($E$1=$K$2,K101,C101))))))))</f>
        <v xml:space="preserve">I HEREBY CERTIFY THAT THE INFORMATION PROVIDED HEREIN IS COMPLETE AND FACTUAL TO THE BEST OF MY KNOWLEDGE. *
Supplier understands LexisNexis Accounts Payable confidentially maintains a global supplier platform, therefore information provided on this form may be used for payments owing to the supplier from any of the RELX global companies. </v>
      </c>
    </row>
    <row r="102" spans="1:12" ht="14.4" customHeight="1">
      <c r="A102" s="14" t="s">
        <v>910</v>
      </c>
      <c r="B102" s="13" t="s">
        <v>130</v>
      </c>
      <c r="C102" s="89" t="s">
        <v>911</v>
      </c>
      <c r="D102" s="116" t="s">
        <v>132</v>
      </c>
      <c r="E102" s="99" t="s">
        <v>912</v>
      </c>
      <c r="F102" s="89" t="s">
        <v>913</v>
      </c>
      <c r="G102" s="89" t="s">
        <v>914</v>
      </c>
      <c r="H102" s="89" t="s">
        <v>915</v>
      </c>
      <c r="I102" s="8" t="s">
        <v>911</v>
      </c>
      <c r="J102" s="99" t="s">
        <v>916</v>
      </c>
      <c r="K102" s="99" t="s">
        <v>917</v>
      </c>
      <c r="L102" s="10" t="str">
        <f>IF($E$1=$C$2,C102,IF($E$1=$E$2,CONCATENATE(E102,B102,C102,D102),IF($E$1=$F$2,CONCATENATE(F102,B102,C102,D102),IF($E$1=$G$2,CONCATENATE(G102,B102,C102,D102),IF($E$1=$H$2,CONCATENATE(H102,B102,C102,D102),IF($E$1=$I$2,CONCATENATE(I102,B102,C102,D102),IF($E$1=$J$2,CONCATENATE(J102,B102,C102,D102),IF($E$1=$K$2,CONCATENATE(K102,B102,C102,D102),C102))))))))</f>
        <v>Date</v>
      </c>
    </row>
    <row r="103" spans="1:12">
      <c r="A103" s="14" t="s">
        <v>918</v>
      </c>
      <c r="B103" s="12" t="s">
        <v>130</v>
      </c>
      <c r="C103" s="8" t="s">
        <v>919</v>
      </c>
      <c r="D103" s="109" t="s">
        <v>132</v>
      </c>
      <c r="E103" s="99" t="s">
        <v>920</v>
      </c>
      <c r="F103" s="8" t="s">
        <v>921</v>
      </c>
      <c r="G103" s="8" t="s">
        <v>922</v>
      </c>
      <c r="H103" s="8" t="s">
        <v>923</v>
      </c>
      <c r="I103" s="8" t="s">
        <v>924</v>
      </c>
      <c r="J103" s="99" t="s">
        <v>925</v>
      </c>
      <c r="K103" s="99" t="s">
        <v>919</v>
      </c>
      <c r="L103" s="10" t="str">
        <f>IF($E$1=$C$2,C103,IF($E$1=$E$2,CONCATENATE(E103,B103,C103,D103),IF($E$1=$F$2,CONCATENATE(F103,B103,C103,D103),IF($E$1=$G$2,CONCATENATE(G103,B103,C103,D103),IF($E$1=$H$2,CONCATENATE(H103,B103,C103,D103),IF($E$1=$I$2,CONCATENATE(I103,B103,C103,D103),IF($E$1=$J$2,CONCATENATE(J103,B103,C103,D103),IF($E$1=$K$2,CONCATENATE(K103,B103,C103,D103),C103))))))))</f>
        <v>Name</v>
      </c>
    </row>
    <row r="104" spans="1:12">
      <c r="A104" s="14" t="s">
        <v>926</v>
      </c>
      <c r="B104" s="13" t="s">
        <v>130</v>
      </c>
      <c r="C104" s="8" t="s">
        <v>927</v>
      </c>
      <c r="D104" s="116" t="s">
        <v>132</v>
      </c>
      <c r="E104" s="99" t="s">
        <v>928</v>
      </c>
      <c r="F104" s="112" t="s">
        <v>929</v>
      </c>
      <c r="G104" s="8" t="s">
        <v>930</v>
      </c>
      <c r="H104" s="8" t="s">
        <v>931</v>
      </c>
      <c r="I104" s="8" t="s">
        <v>932</v>
      </c>
      <c r="J104" s="99" t="s">
        <v>933</v>
      </c>
      <c r="K104" s="99" t="s">
        <v>934</v>
      </c>
      <c r="L104" s="10" t="str">
        <f>IF($E$1=$C$2,C104,IF($E$1=$E$2,CONCATENATE(E104,B104,C104,D104),IF($E$1=$F$2,CONCATENATE(F104,B104,C104,D104),IF($E$1=$G$2,CONCATENATE(G104,B104,C104,D104),IF($E$1=$H$2,CONCATENATE(H104,B104,C104,D104),IF($E$1=$I$2,CONCATENATE(I104,B104,C104,D104),IF($E$1=$J$2,CONCATENATE(J104,B104,C104,D104),IF($E$1=$K$2,CONCATENATE(K104,B104,C104,D104),C104))))))))</f>
        <v>Title</v>
      </c>
    </row>
    <row r="105" spans="1:12">
      <c r="A105" s="14" t="s">
        <v>935</v>
      </c>
      <c r="B105" s="12" t="s">
        <v>130</v>
      </c>
      <c r="C105" s="8" t="s">
        <v>936</v>
      </c>
      <c r="D105" s="109" t="s">
        <v>132</v>
      </c>
      <c r="E105" s="99" t="s">
        <v>937</v>
      </c>
      <c r="F105" s="144" t="s">
        <v>938</v>
      </c>
      <c r="G105" s="99" t="s">
        <v>939</v>
      </c>
      <c r="H105" s="99" t="s">
        <v>940</v>
      </c>
      <c r="I105" s="99" t="s">
        <v>936</v>
      </c>
      <c r="J105" s="99" t="s">
        <v>941</v>
      </c>
      <c r="K105" s="99" t="s">
        <v>942</v>
      </c>
      <c r="L105" s="10" t="str">
        <f>IF($E$1=$C$2,C105,IF($E$1=$E$2,CONCATENATE(E105,B105,C105,D105),IF($E$1=$F$2,CONCATENATE(F105,B105,C105,D105),IF($E$1=$G$2,CONCATENATE(G105,B105,C105,D105),IF($E$1=$H$2,CONCATENATE(H105,B105,C105,D105),IF($E$1=$I$2,CONCATENATE(I105,B105,C105,D105),IF($E$1=$J$2,CONCATENATE(J105,B105,C105,D105),IF($E$1=$K$2,CONCATENATE(K105,B105,C105,D105),C105))))))))</f>
        <v>Signature</v>
      </c>
    </row>
    <row r="106" spans="1:12" s="89" customFormat="1" ht="86.4">
      <c r="A106" s="86" t="s">
        <v>943</v>
      </c>
      <c r="B106" s="117"/>
      <c r="C106" s="89" t="s">
        <v>944</v>
      </c>
      <c r="E106" s="101" t="s">
        <v>945</v>
      </c>
      <c r="F106" s="101" t="s">
        <v>946</v>
      </c>
      <c r="G106" s="101" t="s">
        <v>947</v>
      </c>
      <c r="H106" s="101" t="s">
        <v>948</v>
      </c>
      <c r="I106" s="101" t="s">
        <v>949</v>
      </c>
      <c r="J106" s="101" t="s">
        <v>950</v>
      </c>
      <c r="K106" s="101" t="s">
        <v>951</v>
      </c>
      <c r="L106" s="10" t="str">
        <f t="shared" ref="L106:L169" si="3">IF($E$1=$C$2,C106,IF($E$1=$E$2,CONCATENATE(E106,B106,C106,D106),IF($E$1=$F$2,CONCATENATE(F106,B106,C106,D106),IF($E$1=$G$2,CONCATENATE(G106,B106,C106,D106),IF($E$1=$H$2,CONCATENATE(H106,B106,C106,D106),IF($E$1=$I$2,CONCATENATE(I106,B106,C106,D106),IF($E$1=$J$2,CONCATENATE(J106,B106,C106,D106),IF($E$1=$K$2,CONCATENATE(K106,B106,C106,D106),C106))))))))</f>
        <v xml:space="preserve">THIS FORM MUST BE PROVIDED TO ACCOUNTS PAYABLE IN PDF FORMAT. 
Either select Save As and choose a Save as type of PDF 
or Print and select Printer of Microsoft Print to PDF. </v>
      </c>
    </row>
    <row r="107" spans="1:12" s="89" customFormat="1" ht="43.2">
      <c r="A107" s="86" t="s">
        <v>952</v>
      </c>
      <c r="B107" s="12" t="s">
        <v>130</v>
      </c>
      <c r="C107" s="89" t="s">
        <v>953</v>
      </c>
      <c r="D107" s="145" t="s">
        <v>132</v>
      </c>
      <c r="E107" s="101" t="s">
        <v>954</v>
      </c>
      <c r="F107" s="118" t="s">
        <v>955</v>
      </c>
      <c r="G107" s="101" t="s">
        <v>956</v>
      </c>
      <c r="H107" s="101" t="s">
        <v>957</v>
      </c>
      <c r="I107" s="101" t="s">
        <v>958</v>
      </c>
      <c r="J107" s="101" t="s">
        <v>959</v>
      </c>
      <c r="K107" s="101" t="s">
        <v>960</v>
      </c>
      <c r="L107" s="10" t="str">
        <f t="shared" si="3"/>
        <v>EMAIL COMPLETED PDF COPY OF THIS FORM AND ALL OTHER RELEVANT DOCUMENTATION TO:</v>
      </c>
    </row>
    <row r="108" spans="1:12">
      <c r="A108" s="14" t="s">
        <v>961</v>
      </c>
      <c r="B108" s="12" t="s">
        <v>130</v>
      </c>
      <c r="C108" s="8" t="s">
        <v>2</v>
      </c>
      <c r="D108" s="109" t="s">
        <v>132</v>
      </c>
      <c r="E108" s="102" t="s">
        <v>962</v>
      </c>
      <c r="F108" t="s">
        <v>963</v>
      </c>
      <c r="G108" t="s">
        <v>964</v>
      </c>
      <c r="H108" t="s">
        <v>965</v>
      </c>
      <c r="I108" t="s">
        <v>966</v>
      </c>
      <c r="J108" s="102" t="s">
        <v>967</v>
      </c>
      <c r="K108" s="102" t="s">
        <v>968</v>
      </c>
      <c r="L108" s="10" t="str">
        <f t="shared" si="3"/>
        <v>Select One…</v>
      </c>
    </row>
    <row r="109" spans="1:12">
      <c r="A109" s="14" t="s">
        <v>969</v>
      </c>
      <c r="B109" s="12" t="s">
        <v>130</v>
      </c>
      <c r="C109" s="8" t="s">
        <v>970</v>
      </c>
      <c r="D109" s="109" t="s">
        <v>132</v>
      </c>
      <c r="E109" s="102" t="s">
        <v>971</v>
      </c>
      <c r="F109" t="s">
        <v>972</v>
      </c>
      <c r="G109" t="s">
        <v>973</v>
      </c>
      <c r="H109" t="s">
        <v>974</v>
      </c>
      <c r="I109" t="s">
        <v>975</v>
      </c>
      <c r="J109" s="102" t="s">
        <v>976</v>
      </c>
      <c r="K109" s="102" t="s">
        <v>977</v>
      </c>
      <c r="L109" s="10" t="str">
        <f t="shared" si="3"/>
        <v>YES</v>
      </c>
    </row>
    <row r="110" spans="1:12">
      <c r="A110" s="14" t="s">
        <v>978</v>
      </c>
      <c r="B110" s="13" t="s">
        <v>130</v>
      </c>
      <c r="C110" s="8" t="s">
        <v>979</v>
      </c>
      <c r="D110" s="116" t="s">
        <v>132</v>
      </c>
      <c r="E110" s="102" t="s">
        <v>980</v>
      </c>
      <c r="F110" t="s">
        <v>981</v>
      </c>
      <c r="G110" t="s">
        <v>982</v>
      </c>
      <c r="H110" t="s">
        <v>983</v>
      </c>
      <c r="I110" t="s">
        <v>984</v>
      </c>
      <c r="J110" s="102" t="s">
        <v>979</v>
      </c>
      <c r="K110" s="102" t="s">
        <v>985</v>
      </c>
      <c r="L110" s="10" t="str">
        <f t="shared" si="3"/>
        <v>NO</v>
      </c>
    </row>
    <row r="111" spans="1:12">
      <c r="A111" s="14" t="s">
        <v>986</v>
      </c>
      <c r="B111" s="13" t="s">
        <v>130</v>
      </c>
      <c r="C111" s="3" t="s">
        <v>987</v>
      </c>
      <c r="D111" s="116" t="s">
        <v>132</v>
      </c>
      <c r="E111" s="102" t="s">
        <v>988</v>
      </c>
      <c r="F111" t="s">
        <v>989</v>
      </c>
      <c r="G111" t="s">
        <v>990</v>
      </c>
      <c r="H111" t="s">
        <v>991</v>
      </c>
      <c r="I111" t="s">
        <v>992</v>
      </c>
      <c r="J111" s="102" t="s">
        <v>993</v>
      </c>
      <c r="K111" s="102" t="s">
        <v>994</v>
      </c>
      <c r="L111" s="10" t="str">
        <f t="shared" si="3"/>
        <v>New Supplier Setup</v>
      </c>
    </row>
    <row r="112" spans="1:12">
      <c r="A112" s="14" t="s">
        <v>986</v>
      </c>
      <c r="B112" s="13" t="s">
        <v>130</v>
      </c>
      <c r="C112" s="3" t="s">
        <v>995</v>
      </c>
      <c r="D112" s="116" t="s">
        <v>132</v>
      </c>
      <c r="E112" s="102" t="s">
        <v>996</v>
      </c>
      <c r="F112" t="s">
        <v>997</v>
      </c>
      <c r="G112" t="s">
        <v>998</v>
      </c>
      <c r="H112" t="s">
        <v>999</v>
      </c>
      <c r="I112" t="s">
        <v>1000</v>
      </c>
      <c r="J112" s="102" t="s">
        <v>1001</v>
      </c>
      <c r="K112" s="102" t="s">
        <v>1002</v>
      </c>
      <c r="L112" s="10" t="str">
        <f t="shared" si="3"/>
        <v>Change/Update Supplier Details</v>
      </c>
    </row>
    <row r="113" spans="1:12">
      <c r="A113" s="14" t="s">
        <v>986</v>
      </c>
      <c r="B113" s="13" t="s">
        <v>130</v>
      </c>
      <c r="C113" s="3" t="s">
        <v>1003</v>
      </c>
      <c r="D113" s="116" t="s">
        <v>132</v>
      </c>
      <c r="E113" s="102" t="s">
        <v>1004</v>
      </c>
      <c r="F113" t="s">
        <v>1005</v>
      </c>
      <c r="G113" t="s">
        <v>1006</v>
      </c>
      <c r="I113" t="s">
        <v>1007</v>
      </c>
      <c r="J113" s="102" t="s">
        <v>1008</v>
      </c>
      <c r="K113" s="102" t="s">
        <v>1009</v>
      </c>
      <c r="L113" s="10" t="str">
        <f t="shared" si="3"/>
        <v>Reactivate an Inactive Supplier</v>
      </c>
    </row>
    <row r="114" spans="1:12">
      <c r="A114" s="14" t="s">
        <v>986</v>
      </c>
      <c r="B114" s="13" t="s">
        <v>130</v>
      </c>
      <c r="C114" s="3" t="s">
        <v>765</v>
      </c>
      <c r="D114" s="116" t="s">
        <v>132</v>
      </c>
      <c r="E114" s="102" t="s">
        <v>766</v>
      </c>
      <c r="F114" s="102" t="s">
        <v>767</v>
      </c>
      <c r="G114" s="102" t="s">
        <v>1010</v>
      </c>
      <c r="H114" s="102" t="s">
        <v>769</v>
      </c>
      <c r="I114" s="102" t="s">
        <v>770</v>
      </c>
      <c r="J114" s="102" t="s">
        <v>771</v>
      </c>
      <c r="K114" s="102" t="s">
        <v>1011</v>
      </c>
      <c r="L114" s="10" t="str">
        <f t="shared" si="3"/>
        <v>Other</v>
      </c>
    </row>
    <row r="115" spans="1:12">
      <c r="A115" s="14" t="s">
        <v>1012</v>
      </c>
      <c r="B115" s="13" t="s">
        <v>130</v>
      </c>
      <c r="C115" s="3" t="s">
        <v>1013</v>
      </c>
      <c r="D115" s="116" t="s">
        <v>132</v>
      </c>
      <c r="E115" s="102" t="s">
        <v>1014</v>
      </c>
      <c r="F115" t="s">
        <v>1015</v>
      </c>
      <c r="G115" t="s">
        <v>1016</v>
      </c>
      <c r="H115" t="s">
        <v>1017</v>
      </c>
      <c r="I115" t="s">
        <v>1018</v>
      </c>
      <c r="J115" s="102" t="s">
        <v>1019</v>
      </c>
      <c r="K115" s="102" t="s">
        <v>1020</v>
      </c>
      <c r="L115" s="10" t="str">
        <f t="shared" si="3"/>
        <v>Add additional address</v>
      </c>
    </row>
    <row r="116" spans="1:12">
      <c r="A116" s="14" t="s">
        <v>1012</v>
      </c>
      <c r="B116" s="13" t="s">
        <v>130</v>
      </c>
      <c r="C116" s="3" t="s">
        <v>1021</v>
      </c>
      <c r="D116" s="116" t="s">
        <v>132</v>
      </c>
      <c r="E116" s="102" t="s">
        <v>1022</v>
      </c>
      <c r="F116" t="s">
        <v>1023</v>
      </c>
      <c r="G116" t="s">
        <v>1024</v>
      </c>
      <c r="H116" t="s">
        <v>1025</v>
      </c>
      <c r="I116" t="s">
        <v>1026</v>
      </c>
      <c r="J116" s="102" t="s">
        <v>1027</v>
      </c>
      <c r="K116" s="102" t="s">
        <v>1028</v>
      </c>
      <c r="L116" s="10" t="str">
        <f t="shared" si="3"/>
        <v>Change existing address</v>
      </c>
    </row>
    <row r="117" spans="1:12">
      <c r="A117" s="14" t="s">
        <v>1012</v>
      </c>
      <c r="B117" s="13" t="s">
        <v>130</v>
      </c>
      <c r="C117" s="3" t="s">
        <v>1029</v>
      </c>
      <c r="D117" s="116" t="s">
        <v>132</v>
      </c>
      <c r="E117" s="102" t="s">
        <v>1030</v>
      </c>
      <c r="F117" t="s">
        <v>1031</v>
      </c>
      <c r="G117" t="s">
        <v>1032</v>
      </c>
      <c r="H117" t="s">
        <v>1033</v>
      </c>
      <c r="I117" t="s">
        <v>1034</v>
      </c>
      <c r="J117" s="102" t="s">
        <v>1035</v>
      </c>
      <c r="K117" s="102" t="s">
        <v>1036</v>
      </c>
      <c r="L117" s="10" t="str">
        <f t="shared" si="3"/>
        <v>Change banking details</v>
      </c>
    </row>
    <row r="118" spans="1:12">
      <c r="A118" s="14" t="s">
        <v>1012</v>
      </c>
      <c r="B118" s="13" t="s">
        <v>130</v>
      </c>
      <c r="C118" s="3" t="s">
        <v>1037</v>
      </c>
      <c r="D118" s="116" t="s">
        <v>132</v>
      </c>
      <c r="E118" s="102" t="s">
        <v>1038</v>
      </c>
      <c r="F118" s="102" t="s">
        <v>1039</v>
      </c>
      <c r="G118" s="102" t="s">
        <v>1040</v>
      </c>
      <c r="H118" s="102" t="s">
        <v>1041</v>
      </c>
      <c r="I118" s="102" t="s">
        <v>1042</v>
      </c>
      <c r="J118" s="102" t="s">
        <v>1043</v>
      </c>
      <c r="K118" s="102" t="s">
        <v>1044</v>
      </c>
      <c r="L118" s="10" t="str">
        <f t="shared" si="3"/>
        <v>Change address and bank details</v>
      </c>
    </row>
    <row r="119" spans="1:12">
      <c r="A119" s="14" t="s">
        <v>1045</v>
      </c>
      <c r="B119" s="13" t="s">
        <v>130</v>
      </c>
      <c r="C119" s="3" t="s">
        <v>1046</v>
      </c>
      <c r="D119" s="116" t="s">
        <v>132</v>
      </c>
      <c r="E119" s="102" t="s">
        <v>1047</v>
      </c>
      <c r="F119" t="s">
        <v>1048</v>
      </c>
      <c r="G119" t="s">
        <v>1049</v>
      </c>
      <c r="H119" t="s">
        <v>1050</v>
      </c>
      <c r="I119" t="s">
        <v>1051</v>
      </c>
      <c r="J119" s="102" t="s">
        <v>1052</v>
      </c>
      <c r="K119" s="102" t="s">
        <v>1053</v>
      </c>
      <c r="L119" s="10" t="str">
        <f t="shared" si="3"/>
        <v>Electronic</v>
      </c>
    </row>
    <row r="120" spans="1:12">
      <c r="A120" s="14" t="s">
        <v>1054</v>
      </c>
      <c r="B120" s="13" t="s">
        <v>130</v>
      </c>
      <c r="C120" s="3" t="s">
        <v>1055</v>
      </c>
      <c r="D120" s="116" t="s">
        <v>132</v>
      </c>
      <c r="E120" s="102" t="s">
        <v>1056</v>
      </c>
      <c r="F120" t="s">
        <v>1057</v>
      </c>
      <c r="G120" t="s">
        <v>1058</v>
      </c>
      <c r="H120" t="s">
        <v>1059</v>
      </c>
      <c r="I120" t="s">
        <v>1060</v>
      </c>
      <c r="J120" s="102" t="s">
        <v>1061</v>
      </c>
      <c r="K120" s="102" t="s">
        <v>1062</v>
      </c>
      <c r="L120" s="10" t="str">
        <f t="shared" si="3"/>
        <v>Within the United States</v>
      </c>
    </row>
    <row r="121" spans="1:12">
      <c r="A121" s="14" t="s">
        <v>1054</v>
      </c>
      <c r="B121" s="13" t="s">
        <v>130</v>
      </c>
      <c r="C121" s="3" t="s">
        <v>1063</v>
      </c>
      <c r="D121" s="116" t="s">
        <v>132</v>
      </c>
      <c r="E121" s="102" t="s">
        <v>1064</v>
      </c>
      <c r="F121" t="s">
        <v>1065</v>
      </c>
      <c r="G121" t="s">
        <v>1066</v>
      </c>
      <c r="H121" t="s">
        <v>1067</v>
      </c>
      <c r="I121" t="s">
        <v>1068</v>
      </c>
      <c r="J121" s="102" t="s">
        <v>1069</v>
      </c>
      <c r="K121" s="102" t="s">
        <v>1070</v>
      </c>
      <c r="L121" s="10" t="str">
        <f t="shared" si="3"/>
        <v>Outside the United States</v>
      </c>
    </row>
    <row r="122" spans="1:12">
      <c r="A122" s="14" t="s">
        <v>1071</v>
      </c>
      <c r="B122" s="13" t="s">
        <v>130</v>
      </c>
      <c r="C122" s="6" t="s">
        <v>1072</v>
      </c>
      <c r="D122" s="116" t="s">
        <v>132</v>
      </c>
      <c r="E122" s="102" t="s">
        <v>1073</v>
      </c>
      <c r="F122" t="s">
        <v>1074</v>
      </c>
      <c r="G122" t="s">
        <v>1075</v>
      </c>
      <c r="H122" t="s">
        <v>1076</v>
      </c>
      <c r="I122" t="s">
        <v>1077</v>
      </c>
      <c r="J122" s="102" t="s">
        <v>1078</v>
      </c>
      <c r="K122" s="102" t="s">
        <v>1079</v>
      </c>
      <c r="L122" s="10" t="str">
        <f t="shared" si="3"/>
        <v>Services</v>
      </c>
    </row>
    <row r="123" spans="1:12">
      <c r="A123" s="14" t="s">
        <v>1071</v>
      </c>
      <c r="B123" s="13" t="s">
        <v>130</v>
      </c>
      <c r="C123" s="6" t="s">
        <v>1080</v>
      </c>
      <c r="D123" s="116" t="s">
        <v>132</v>
      </c>
      <c r="E123" s="102" t="s">
        <v>1081</v>
      </c>
      <c r="F123" t="s">
        <v>1082</v>
      </c>
      <c r="G123" t="s">
        <v>1083</v>
      </c>
      <c r="H123" t="s">
        <v>1084</v>
      </c>
      <c r="I123" t="s">
        <v>1085</v>
      </c>
      <c r="J123" s="102" t="s">
        <v>1086</v>
      </c>
      <c r="K123" s="102" t="s">
        <v>1087</v>
      </c>
      <c r="L123" s="10" t="str">
        <f t="shared" si="3"/>
        <v>Goods</v>
      </c>
    </row>
    <row r="124" spans="1:12">
      <c r="A124" s="14" t="s">
        <v>1071</v>
      </c>
      <c r="B124" s="13" t="s">
        <v>130</v>
      </c>
      <c r="C124" s="6" t="s">
        <v>1088</v>
      </c>
      <c r="D124" s="116" t="s">
        <v>132</v>
      </c>
      <c r="E124" s="102" t="s">
        <v>1089</v>
      </c>
      <c r="F124" t="s">
        <v>1090</v>
      </c>
      <c r="G124" t="s">
        <v>1091</v>
      </c>
      <c r="H124" t="s">
        <v>1092</v>
      </c>
      <c r="I124" t="s">
        <v>1093</v>
      </c>
      <c r="J124" s="102" t="s">
        <v>1094</v>
      </c>
      <c r="K124" s="102" t="s">
        <v>1095</v>
      </c>
      <c r="L124" s="10" t="str">
        <f t="shared" si="3"/>
        <v>Goods and Services</v>
      </c>
    </row>
    <row r="125" spans="1:12">
      <c r="A125" s="14" t="s">
        <v>1071</v>
      </c>
      <c r="B125" s="13" t="s">
        <v>130</v>
      </c>
      <c r="C125" s="6" t="s">
        <v>1096</v>
      </c>
      <c r="D125" s="116" t="s">
        <v>132</v>
      </c>
      <c r="E125" s="102" t="s">
        <v>1097</v>
      </c>
      <c r="F125" t="s">
        <v>1098</v>
      </c>
      <c r="G125" t="s">
        <v>1099</v>
      </c>
      <c r="H125" t="s">
        <v>1100</v>
      </c>
      <c r="I125" t="s">
        <v>1101</v>
      </c>
      <c r="J125" s="102" t="s">
        <v>1102</v>
      </c>
      <c r="K125" s="102" t="s">
        <v>1103</v>
      </c>
      <c r="L125" s="10" t="str">
        <f t="shared" si="3"/>
        <v>Royalties</v>
      </c>
    </row>
    <row r="126" spans="1:12">
      <c r="A126" s="14" t="s">
        <v>1071</v>
      </c>
      <c r="B126" s="13" t="s">
        <v>130</v>
      </c>
      <c r="C126" s="6" t="s">
        <v>1104</v>
      </c>
      <c r="D126" s="116" t="s">
        <v>132</v>
      </c>
      <c r="E126" s="102" t="s">
        <v>1105</v>
      </c>
      <c r="F126" s="102" t="s">
        <v>1106</v>
      </c>
      <c r="G126" s="102" t="s">
        <v>1107</v>
      </c>
      <c r="H126" s="102" t="s">
        <v>1108</v>
      </c>
      <c r="I126" s="102" t="s">
        <v>1109</v>
      </c>
      <c r="J126" s="102" t="s">
        <v>1110</v>
      </c>
      <c r="K126" s="102" t="s">
        <v>1111</v>
      </c>
      <c r="L126" s="10" t="str">
        <f t="shared" si="3"/>
        <v>Police Reports</v>
      </c>
    </row>
    <row r="127" spans="1:12">
      <c r="A127" s="254" t="s">
        <v>1112</v>
      </c>
      <c r="B127" s="13" t="s">
        <v>130</v>
      </c>
      <c r="C127" s="255" t="s">
        <v>1113</v>
      </c>
      <c r="D127" s="116" t="s">
        <v>132</v>
      </c>
      <c r="E127" s="102" t="s">
        <v>1114</v>
      </c>
      <c r="F127" s="102" t="s">
        <v>1115</v>
      </c>
      <c r="G127" s="102" t="s">
        <v>1116</v>
      </c>
      <c r="H127" s="102" t="s">
        <v>1117</v>
      </c>
      <c r="I127" s="102" t="s">
        <v>1118</v>
      </c>
      <c r="J127" s="102" t="s">
        <v>1119</v>
      </c>
      <c r="K127" s="102" t="s">
        <v>1120</v>
      </c>
      <c r="L127" s="10" t="str">
        <f t="shared" si="3"/>
        <v>Editors &amp; Authors</v>
      </c>
    </row>
    <row r="128" spans="1:12">
      <c r="A128" s="254" t="s">
        <v>1112</v>
      </c>
      <c r="B128" s="13" t="s">
        <v>130</v>
      </c>
      <c r="C128" s="255" t="s">
        <v>1121</v>
      </c>
      <c r="D128" s="116" t="s">
        <v>132</v>
      </c>
      <c r="E128" s="102" t="s">
        <v>1122</v>
      </c>
      <c r="F128" s="102" t="s">
        <v>1123</v>
      </c>
      <c r="G128" s="102" t="s">
        <v>1124</v>
      </c>
      <c r="H128" s="102" t="s">
        <v>1125</v>
      </c>
      <c r="I128" s="102" t="s">
        <v>1121</v>
      </c>
      <c r="J128" s="102" t="s">
        <v>1126</v>
      </c>
      <c r="K128" s="102" t="s">
        <v>1127</v>
      </c>
      <c r="L128" s="10" t="str">
        <f t="shared" si="3"/>
        <v>Commissions</v>
      </c>
    </row>
    <row r="129" spans="1:12">
      <c r="A129" s="254" t="s">
        <v>1112</v>
      </c>
      <c r="B129" s="13" t="s">
        <v>130</v>
      </c>
      <c r="C129" s="255" t="s">
        <v>1128</v>
      </c>
      <c r="D129" s="116" t="s">
        <v>132</v>
      </c>
      <c r="E129" s="102" t="s">
        <v>1129</v>
      </c>
      <c r="F129" t="s">
        <v>1130</v>
      </c>
      <c r="G129" t="s">
        <v>1131</v>
      </c>
      <c r="H129" t="s">
        <v>1132</v>
      </c>
      <c r="I129" t="s">
        <v>1133</v>
      </c>
      <c r="J129" s="102" t="s">
        <v>1134</v>
      </c>
      <c r="K129" s="102" t="s">
        <v>1135</v>
      </c>
      <c r="L129" s="10" t="str">
        <f t="shared" si="3"/>
        <v>Customer Refund</v>
      </c>
    </row>
    <row r="130" spans="1:12">
      <c r="A130" s="254" t="s">
        <v>1112</v>
      </c>
      <c r="B130" s="13" t="s">
        <v>130</v>
      </c>
      <c r="C130" s="6" t="s">
        <v>1136</v>
      </c>
      <c r="D130" s="116" t="s">
        <v>132</v>
      </c>
      <c r="L130" s="10" t="str">
        <f t="shared" si="3"/>
        <v>eCrash</v>
      </c>
    </row>
    <row r="131" spans="1:12">
      <c r="A131" s="254" t="s">
        <v>1112</v>
      </c>
      <c r="B131" s="13" t="s">
        <v>130</v>
      </c>
      <c r="C131" s="255" t="s">
        <v>1137</v>
      </c>
      <c r="D131" s="116" t="s">
        <v>132</v>
      </c>
      <c r="E131" s="102" t="s">
        <v>1138</v>
      </c>
      <c r="F131" t="s">
        <v>1139</v>
      </c>
      <c r="G131" t="s">
        <v>1140</v>
      </c>
      <c r="H131" t="s">
        <v>1141</v>
      </c>
      <c r="I131" t="s">
        <v>1142</v>
      </c>
      <c r="J131" s="102" t="s">
        <v>1143</v>
      </c>
      <c r="K131" s="102" t="s">
        <v>1144</v>
      </c>
      <c r="L131" s="10" t="str">
        <f t="shared" si="3"/>
        <v>Employee</v>
      </c>
    </row>
    <row r="132" spans="1:12">
      <c r="A132" s="254" t="s">
        <v>1112</v>
      </c>
      <c r="B132" s="13" t="s">
        <v>130</v>
      </c>
      <c r="C132" s="255" t="s">
        <v>1145</v>
      </c>
      <c r="D132" s="116" t="s">
        <v>132</v>
      </c>
      <c r="E132" s="102" t="s">
        <v>1146</v>
      </c>
      <c r="F132" s="102" t="s">
        <v>1147</v>
      </c>
      <c r="G132" s="102" t="s">
        <v>1148</v>
      </c>
      <c r="H132" s="102" t="s">
        <v>1149</v>
      </c>
      <c r="I132" s="102" t="s">
        <v>1150</v>
      </c>
      <c r="J132" s="102" t="s">
        <v>1151</v>
      </c>
      <c r="K132" s="102" t="s">
        <v>1152</v>
      </c>
      <c r="L132" s="10" t="str">
        <f t="shared" si="3"/>
        <v>Freelancers</v>
      </c>
    </row>
    <row r="133" spans="1:12">
      <c r="A133" s="254" t="s">
        <v>1112</v>
      </c>
      <c r="B133" s="13" t="s">
        <v>130</v>
      </c>
      <c r="C133" s="255" t="s">
        <v>1153</v>
      </c>
      <c r="D133" s="116" t="s">
        <v>132</v>
      </c>
      <c r="E133" s="102" t="s">
        <v>1154</v>
      </c>
      <c r="F133" s="102" t="s">
        <v>1155</v>
      </c>
      <c r="G133" s="102" t="s">
        <v>1156</v>
      </c>
      <c r="H133" s="102" t="s">
        <v>1157</v>
      </c>
      <c r="I133" s="102" t="s">
        <v>1158</v>
      </c>
      <c r="J133" s="102" t="s">
        <v>1159</v>
      </c>
      <c r="K133" s="102" t="s">
        <v>1160</v>
      </c>
      <c r="L133" s="10" t="str">
        <f t="shared" si="3"/>
        <v>Legal Services / Settlement</v>
      </c>
    </row>
    <row r="134" spans="1:12" s="8" customFormat="1" ht="28.8">
      <c r="A134" s="254" t="s">
        <v>1112</v>
      </c>
      <c r="B134" s="14" t="s">
        <v>130</v>
      </c>
      <c r="C134" s="197" t="s">
        <v>1161</v>
      </c>
      <c r="D134" s="11" t="s">
        <v>132</v>
      </c>
      <c r="E134" s="101" t="s">
        <v>1162</v>
      </c>
      <c r="F134" s="101" t="s">
        <v>1163</v>
      </c>
      <c r="G134" s="101" t="s">
        <v>1164</v>
      </c>
      <c r="H134" s="101" t="s">
        <v>1165</v>
      </c>
      <c r="I134" s="101" t="s">
        <v>1166</v>
      </c>
      <c r="J134" s="101" t="s">
        <v>1167</v>
      </c>
      <c r="K134" s="101" t="s">
        <v>1168</v>
      </c>
      <c r="L134" s="10" t="str">
        <f t="shared" si="3"/>
        <v>Micro Small and Medium Enterprise - for India only</v>
      </c>
    </row>
    <row r="135" spans="1:12">
      <c r="A135" s="254" t="s">
        <v>1112</v>
      </c>
      <c r="B135" s="13" t="s">
        <v>130</v>
      </c>
      <c r="C135" s="255" t="s">
        <v>1169</v>
      </c>
      <c r="D135" s="116" t="s">
        <v>132</v>
      </c>
      <c r="E135" s="102" t="s">
        <v>1170</v>
      </c>
      <c r="F135" s="102" t="s">
        <v>1171</v>
      </c>
      <c r="G135" s="102" t="s">
        <v>1172</v>
      </c>
      <c r="H135" s="102" t="s">
        <v>1173</v>
      </c>
      <c r="I135" s="102" t="s">
        <v>1174</v>
      </c>
      <c r="J135" s="102" t="s">
        <v>1175</v>
      </c>
      <c r="K135" s="102" t="s">
        <v>1176</v>
      </c>
      <c r="L135" s="10" t="str">
        <f t="shared" si="3"/>
        <v>Supplier</v>
      </c>
    </row>
    <row r="136" spans="1:12">
      <c r="A136" s="254" t="s">
        <v>1112</v>
      </c>
      <c r="B136" s="13" t="s">
        <v>130</v>
      </c>
      <c r="C136" s="255" t="s">
        <v>1177</v>
      </c>
      <c r="D136" s="116" t="s">
        <v>132</v>
      </c>
      <c r="E136" s="102" t="s">
        <v>1178</v>
      </c>
      <c r="F136" s="102" t="s">
        <v>1179</v>
      </c>
      <c r="G136" s="102" t="s">
        <v>1180</v>
      </c>
      <c r="H136" s="102" t="s">
        <v>1181</v>
      </c>
      <c r="I136" s="102" t="s">
        <v>1182</v>
      </c>
      <c r="J136" s="102" t="s">
        <v>1183</v>
      </c>
      <c r="K136" s="102" t="s">
        <v>1184</v>
      </c>
      <c r="L136" s="10" t="str">
        <f t="shared" si="3"/>
        <v>Rent / Lease</v>
      </c>
    </row>
    <row r="137" spans="1:12">
      <c r="A137" s="254" t="s">
        <v>1112</v>
      </c>
      <c r="B137" s="13" t="s">
        <v>130</v>
      </c>
      <c r="C137" s="255" t="s">
        <v>1096</v>
      </c>
      <c r="D137" s="116" t="s">
        <v>132</v>
      </c>
      <c r="E137" s="102" t="s">
        <v>1097</v>
      </c>
      <c r="F137" s="102" t="s">
        <v>1098</v>
      </c>
      <c r="G137" s="102" t="s">
        <v>1099</v>
      </c>
      <c r="H137" s="170" t="s">
        <v>1100</v>
      </c>
      <c r="I137" s="102" t="s">
        <v>1185</v>
      </c>
      <c r="J137" s="102" t="s">
        <v>1102</v>
      </c>
      <c r="K137" s="102" t="s">
        <v>1103</v>
      </c>
      <c r="L137" s="10" t="str">
        <f t="shared" si="3"/>
        <v>Royalties</v>
      </c>
    </row>
    <row r="138" spans="1:12">
      <c r="A138" s="254" t="s">
        <v>1112</v>
      </c>
      <c r="B138" s="13" t="s">
        <v>130</v>
      </c>
      <c r="C138" s="6" t="s">
        <v>1186</v>
      </c>
      <c r="D138" s="116" t="s">
        <v>132</v>
      </c>
      <c r="E138" s="102" t="s">
        <v>1187</v>
      </c>
      <c r="F138" s="102" t="s">
        <v>1188</v>
      </c>
      <c r="G138" s="102" t="s">
        <v>1189</v>
      </c>
      <c r="H138" s="170" t="s">
        <v>1190</v>
      </c>
      <c r="I138" s="102" t="s">
        <v>1191</v>
      </c>
      <c r="J138" s="102" t="s">
        <v>1192</v>
      </c>
      <c r="K138" s="102" t="s">
        <v>1193</v>
      </c>
      <c r="L138" s="10" t="str">
        <f t="shared" si="3"/>
        <v>Royalty - Licensing</v>
      </c>
    </row>
    <row r="139" spans="1:12">
      <c r="A139" s="254" t="s">
        <v>1112</v>
      </c>
      <c r="B139" s="13" t="s">
        <v>130</v>
      </c>
      <c r="C139" s="6" t="s">
        <v>1194</v>
      </c>
      <c r="D139" s="116" t="s">
        <v>132</v>
      </c>
      <c r="E139" s="102" t="s">
        <v>1195</v>
      </c>
      <c r="F139" s="102" t="s">
        <v>1196</v>
      </c>
      <c r="G139" s="102" t="s">
        <v>1197</v>
      </c>
      <c r="H139" s="170" t="s">
        <v>1198</v>
      </c>
      <c r="I139" s="102" t="s">
        <v>1199</v>
      </c>
      <c r="J139" s="102" t="s">
        <v>1200</v>
      </c>
      <c r="K139" s="102" t="s">
        <v>1201</v>
      </c>
      <c r="L139" s="10" t="str">
        <f t="shared" si="3"/>
        <v>Royalty Free Licensor</v>
      </c>
    </row>
    <row r="140" spans="1:12">
      <c r="A140" s="254" t="s">
        <v>1112</v>
      </c>
      <c r="B140" s="13" t="s">
        <v>130</v>
      </c>
      <c r="C140" s="255" t="s">
        <v>1202</v>
      </c>
      <c r="D140" s="116" t="s">
        <v>132</v>
      </c>
      <c r="E140" s="102" t="s">
        <v>1203</v>
      </c>
      <c r="F140" s="102" t="s">
        <v>1204</v>
      </c>
      <c r="G140" s="102" t="s">
        <v>1205</v>
      </c>
      <c r="H140" s="170" t="s">
        <v>1206</v>
      </c>
      <c r="I140" s="102" t="s">
        <v>1207</v>
      </c>
      <c r="J140" s="102" t="s">
        <v>1208</v>
      </c>
      <c r="K140" s="102" t="s">
        <v>1209</v>
      </c>
      <c r="L140" s="10" t="str">
        <f t="shared" si="3"/>
        <v>Tax Authority</v>
      </c>
    </row>
    <row r="141" spans="1:12">
      <c r="A141" s="254" t="s">
        <v>1112</v>
      </c>
      <c r="B141" s="13" t="s">
        <v>130</v>
      </c>
      <c r="C141" s="255" t="s">
        <v>1210</v>
      </c>
      <c r="D141" s="116" t="s">
        <v>132</v>
      </c>
      <c r="E141" s="102" t="s">
        <v>1211</v>
      </c>
      <c r="F141" t="s">
        <v>1212</v>
      </c>
      <c r="G141" t="s">
        <v>1213</v>
      </c>
      <c r="H141" t="s">
        <v>1214</v>
      </c>
      <c r="I141" t="s">
        <v>1215</v>
      </c>
      <c r="J141" s="102" t="s">
        <v>1216</v>
      </c>
      <c r="K141" s="102" t="s">
        <v>1217</v>
      </c>
      <c r="L141" s="10" t="str">
        <f t="shared" si="3"/>
        <v>Utilities</v>
      </c>
    </row>
    <row r="142" spans="1:12">
      <c r="A142" s="14" t="s">
        <v>1218</v>
      </c>
      <c r="B142" s="13" t="s">
        <v>130</v>
      </c>
      <c r="C142" s="3" t="s">
        <v>1219</v>
      </c>
      <c r="D142" s="116" t="s">
        <v>132</v>
      </c>
      <c r="E142" s="102" t="s">
        <v>1220</v>
      </c>
      <c r="F142" t="s">
        <v>1221</v>
      </c>
      <c r="G142" t="s">
        <v>1222</v>
      </c>
      <c r="H142" t="s">
        <v>1223</v>
      </c>
      <c r="I142" t="s">
        <v>1224</v>
      </c>
      <c r="J142" s="102" t="s">
        <v>1225</v>
      </c>
      <c r="K142" s="102" t="s">
        <v>1226</v>
      </c>
      <c r="L142" s="10" t="str">
        <f t="shared" si="3"/>
        <v>Within the United Kingdom</v>
      </c>
    </row>
    <row r="143" spans="1:12">
      <c r="A143" s="14" t="s">
        <v>1218</v>
      </c>
      <c r="B143" s="13" t="s">
        <v>130</v>
      </c>
      <c r="C143" s="3" t="s">
        <v>1227</v>
      </c>
      <c r="D143" s="116" t="s">
        <v>132</v>
      </c>
      <c r="E143" s="102" t="s">
        <v>1228</v>
      </c>
      <c r="F143" t="s">
        <v>1229</v>
      </c>
      <c r="G143" t="s">
        <v>1230</v>
      </c>
      <c r="H143" t="s">
        <v>1231</v>
      </c>
      <c r="I143" t="s">
        <v>1232</v>
      </c>
      <c r="J143" s="102" t="s">
        <v>1233</v>
      </c>
      <c r="K143" s="102" t="s">
        <v>1234</v>
      </c>
      <c r="L143" s="10" t="str">
        <f t="shared" si="3"/>
        <v>Outside the United Kingdom</v>
      </c>
    </row>
    <row r="144" spans="1:12" s="89" customFormat="1" ht="43.2">
      <c r="A144" s="86" t="s">
        <v>1235</v>
      </c>
      <c r="B144" s="13" t="s">
        <v>130</v>
      </c>
      <c r="C144" s="10" t="s">
        <v>1236</v>
      </c>
      <c r="D144" s="11" t="s">
        <v>132</v>
      </c>
      <c r="E144" s="101" t="s">
        <v>1237</v>
      </c>
      <c r="F144" s="101" t="s">
        <v>1238</v>
      </c>
      <c r="G144" s="101" t="s">
        <v>1239</v>
      </c>
      <c r="H144" s="101" t="s">
        <v>1240</v>
      </c>
      <c r="I144" s="101" t="s">
        <v>1241</v>
      </c>
      <c r="J144" s="101" t="s">
        <v>1242</v>
      </c>
      <c r="K144" s="101" t="s">
        <v>1243</v>
      </c>
      <c r="L144" s="10" t="str">
        <f t="shared" si="3"/>
        <v>Social Insurance # (SIN) - enter if payment is being made to an individual</v>
      </c>
    </row>
    <row r="145" spans="1:12">
      <c r="A145" s="14" t="s">
        <v>1235</v>
      </c>
      <c r="B145" s="13" t="s">
        <v>130</v>
      </c>
      <c r="C145" s="3" t="s">
        <v>1244</v>
      </c>
      <c r="D145" s="116" t="s">
        <v>132</v>
      </c>
      <c r="E145" s="102" t="s">
        <v>1245</v>
      </c>
      <c r="F145" s="102" t="s">
        <v>1246</v>
      </c>
      <c r="G145" s="102" t="s">
        <v>1247</v>
      </c>
      <c r="H145" s="102" t="s">
        <v>1248</v>
      </c>
      <c r="I145" s="102" t="s">
        <v>1249</v>
      </c>
      <c r="J145" s="102" t="s">
        <v>1250</v>
      </c>
      <c r="K145" s="102" t="s">
        <v>1251</v>
      </c>
      <c r="L145" s="10" t="str">
        <f t="shared" si="3"/>
        <v>Are you HST, GST, or QST Registered?</v>
      </c>
    </row>
    <row r="146" spans="1:12">
      <c r="A146" s="14" t="s">
        <v>1235</v>
      </c>
      <c r="B146" s="13" t="s">
        <v>130</v>
      </c>
      <c r="C146" s="3" t="s">
        <v>1252</v>
      </c>
      <c r="D146" s="116" t="s">
        <v>132</v>
      </c>
      <c r="E146" s="102" t="s">
        <v>1253</v>
      </c>
      <c r="F146" s="102" t="s">
        <v>1254</v>
      </c>
      <c r="G146" s="102" t="s">
        <v>1255</v>
      </c>
      <c r="H146" s="102" t="s">
        <v>1256</v>
      </c>
      <c r="I146" s="102" t="s">
        <v>1257</v>
      </c>
      <c r="J146" s="102" t="s">
        <v>1258</v>
      </c>
      <c r="K146" s="102" t="s">
        <v>1259</v>
      </c>
      <c r="L146" s="10" t="str">
        <f t="shared" si="3"/>
        <v>Enter HST, GST or QST Number</v>
      </c>
    </row>
    <row r="147" spans="1:12" s="129" customFormat="1" ht="26.4" customHeight="1">
      <c r="A147" s="86" t="s">
        <v>1235</v>
      </c>
      <c r="B147" s="13" t="s">
        <v>130</v>
      </c>
      <c r="C147" s="42" t="s">
        <v>1260</v>
      </c>
      <c r="D147" s="116" t="s">
        <v>132</v>
      </c>
      <c r="E147" s="146" t="s">
        <v>1261</v>
      </c>
      <c r="F147" s="146" t="s">
        <v>1262</v>
      </c>
      <c r="G147" s="146" t="s">
        <v>1263</v>
      </c>
      <c r="H147" s="146" t="s">
        <v>1264</v>
      </c>
      <c r="I147" s="146" t="s">
        <v>1265</v>
      </c>
      <c r="J147" s="146" t="s">
        <v>1266</v>
      </c>
      <c r="K147" s="146" t="s">
        <v>1267</v>
      </c>
      <c r="L147" s="10" t="str">
        <f t="shared" si="3"/>
        <v>Business Number - enter if payment is being made to an entity</v>
      </c>
    </row>
    <row r="148" spans="1:12" s="8" customFormat="1">
      <c r="A148" s="14" t="s">
        <v>1268</v>
      </c>
      <c r="B148" s="13" t="s">
        <v>130</v>
      </c>
      <c r="C148" s="10" t="s">
        <v>1269</v>
      </c>
      <c r="D148" s="11" t="s">
        <v>132</v>
      </c>
      <c r="E148" s="101" t="s">
        <v>1270</v>
      </c>
      <c r="F148" s="101" t="s">
        <v>1271</v>
      </c>
      <c r="G148" s="101" t="s">
        <v>1272</v>
      </c>
      <c r="H148" s="101" t="s">
        <v>1273</v>
      </c>
      <c r="I148" s="101" t="s">
        <v>1274</v>
      </c>
      <c r="J148" s="101" t="s">
        <v>1275</v>
      </c>
      <c r="K148" s="101" t="s">
        <v>1276</v>
      </c>
      <c r="L148" s="10" t="str">
        <f t="shared" si="3"/>
        <v>Bank Account Currency</v>
      </c>
    </row>
    <row r="149" spans="1:12" s="8" customFormat="1">
      <c r="A149" s="14" t="s">
        <v>1277</v>
      </c>
      <c r="B149" s="13" t="s">
        <v>130</v>
      </c>
      <c r="C149" s="10" t="s">
        <v>756</v>
      </c>
      <c r="D149" s="11" t="s">
        <v>132</v>
      </c>
      <c r="E149" s="101" t="s">
        <v>757</v>
      </c>
      <c r="F149" s="101" t="s">
        <v>758</v>
      </c>
      <c r="G149" s="101" t="s">
        <v>1278</v>
      </c>
      <c r="H149" s="101" t="s">
        <v>1279</v>
      </c>
      <c r="I149" s="101" t="s">
        <v>761</v>
      </c>
      <c r="J149" s="101" t="s">
        <v>762</v>
      </c>
      <c r="K149" s="101" t="s">
        <v>763</v>
      </c>
      <c r="L149" s="10" t="str">
        <f t="shared" si="3"/>
        <v>Invoice Currency</v>
      </c>
    </row>
    <row r="150" spans="1:12" s="8" customFormat="1" ht="43.2">
      <c r="A150" s="14" t="s">
        <v>1280</v>
      </c>
      <c r="B150" s="13" t="s">
        <v>130</v>
      </c>
      <c r="C150" s="10" t="s">
        <v>1281</v>
      </c>
      <c r="D150" s="11" t="s">
        <v>132</v>
      </c>
      <c r="E150" s="101" t="s">
        <v>1282</v>
      </c>
      <c r="F150" s="101" t="s">
        <v>1283</v>
      </c>
      <c r="G150" s="101" t="s">
        <v>1284</v>
      </c>
      <c r="H150" s="101" t="s">
        <v>1285</v>
      </c>
      <c r="I150" s="101" t="s">
        <v>1286</v>
      </c>
      <c r="J150" s="101" t="s">
        <v>1287</v>
      </c>
      <c r="K150" s="101" t="s">
        <v>1288</v>
      </c>
      <c r="L150" s="10" t="str">
        <f t="shared" si="3"/>
        <v>Please ensure your invoice currency matches your bank account currency.</v>
      </c>
    </row>
    <row r="151" spans="1:12">
      <c r="A151" s="14" t="s">
        <v>1289</v>
      </c>
      <c r="B151" s="13" t="s">
        <v>130</v>
      </c>
      <c r="C151" s="10" t="s">
        <v>8</v>
      </c>
      <c r="D151" s="109" t="s">
        <v>132</v>
      </c>
      <c r="E151" s="102" t="s">
        <v>1290</v>
      </c>
      <c r="F151" s="102" t="s">
        <v>1291</v>
      </c>
      <c r="G151" s="102" t="s">
        <v>1292</v>
      </c>
      <c r="H151" s="102" t="s">
        <v>1293</v>
      </c>
      <c r="I151" s="102" t="s">
        <v>1294</v>
      </c>
      <c r="J151" s="102" t="s">
        <v>1295</v>
      </c>
      <c r="K151" s="102" t="s">
        <v>1296</v>
      </c>
      <c r="L151" s="10" t="str">
        <f t="shared" si="3"/>
        <v>Select Yes or No</v>
      </c>
    </row>
    <row r="152" spans="1:12">
      <c r="A152" s="14" t="s">
        <v>1297</v>
      </c>
      <c r="B152" s="13" t="s">
        <v>130</v>
      </c>
      <c r="C152" s="10" t="s">
        <v>1298</v>
      </c>
      <c r="D152" s="109" t="s">
        <v>132</v>
      </c>
      <c r="E152" s="102" t="s">
        <v>1299</v>
      </c>
      <c r="F152" s="102" t="s">
        <v>1300</v>
      </c>
      <c r="G152" s="102" t="s">
        <v>1301</v>
      </c>
      <c r="H152" s="102" t="s">
        <v>1302</v>
      </c>
      <c r="I152" s="102" t="s">
        <v>1303</v>
      </c>
      <c r="J152" s="102" t="s">
        <v>1304</v>
      </c>
      <c r="K152" s="102" t="s">
        <v>1305</v>
      </c>
      <c r="L152" s="10" t="str">
        <f t="shared" si="3"/>
        <v>Method of Remuneration</v>
      </c>
    </row>
    <row r="153" spans="1:12">
      <c r="A153" s="14" t="s">
        <v>1306</v>
      </c>
      <c r="B153" s="13" t="s">
        <v>130</v>
      </c>
      <c r="C153" s="3" t="s">
        <v>1307</v>
      </c>
      <c r="D153" s="109" t="s">
        <v>132</v>
      </c>
      <c r="E153" s="102" t="s">
        <v>1308</v>
      </c>
      <c r="F153" s="102" t="s">
        <v>1309</v>
      </c>
      <c r="G153" s="102" t="s">
        <v>1310</v>
      </c>
      <c r="H153" s="102" t="s">
        <v>1311</v>
      </c>
      <c r="I153" s="102" t="s">
        <v>1312</v>
      </c>
      <c r="J153" s="102" t="s">
        <v>1313</v>
      </c>
      <c r="K153" s="102" t="s">
        <v>1314</v>
      </c>
      <c r="L153" s="10" t="str">
        <f t="shared" si="3"/>
        <v>Canada Online Royalty</v>
      </c>
    </row>
    <row r="154" spans="1:12">
      <c r="A154" s="14" t="s">
        <v>1306</v>
      </c>
      <c r="B154" s="13" t="s">
        <v>130</v>
      </c>
      <c r="C154" s="3" t="s">
        <v>1315</v>
      </c>
      <c r="D154" s="109" t="s">
        <v>132</v>
      </c>
      <c r="E154" s="102" t="s">
        <v>1316</v>
      </c>
      <c r="F154" s="102" t="s">
        <v>1317</v>
      </c>
      <c r="G154" s="102" t="s">
        <v>1318</v>
      </c>
      <c r="H154" s="102" t="s">
        <v>1319</v>
      </c>
      <c r="I154" s="102" t="s">
        <v>1320</v>
      </c>
      <c r="J154" s="102" t="s">
        <v>1321</v>
      </c>
      <c r="K154" s="102" t="s">
        <v>1322</v>
      </c>
      <c r="L154" s="10" t="str">
        <f t="shared" si="3"/>
        <v>Canada Print Royalty</v>
      </c>
    </row>
    <row r="155" spans="1:12">
      <c r="A155" s="14" t="s">
        <v>1306</v>
      </c>
      <c r="B155" s="13" t="s">
        <v>130</v>
      </c>
      <c r="C155" s="3" t="s">
        <v>1323</v>
      </c>
      <c r="D155" s="109" t="s">
        <v>132</v>
      </c>
      <c r="E155" s="102" t="s">
        <v>1324</v>
      </c>
      <c r="F155" s="102" t="s">
        <v>1325</v>
      </c>
      <c r="G155" s="102" t="s">
        <v>1326</v>
      </c>
      <c r="H155" s="102" t="s">
        <v>1327</v>
      </c>
      <c r="I155" s="102" t="s">
        <v>1328</v>
      </c>
      <c r="J155" s="102" t="s">
        <v>1329</v>
      </c>
      <c r="K155" s="102" t="s">
        <v>1330</v>
      </c>
      <c r="L155" s="10" t="str">
        <f t="shared" si="3"/>
        <v>Canada Online and Print Royalty</v>
      </c>
    </row>
    <row r="156" spans="1:12">
      <c r="A156" s="14" t="s">
        <v>1306</v>
      </c>
      <c r="B156" s="13" t="s">
        <v>130</v>
      </c>
      <c r="C156" s="3" t="s">
        <v>1331</v>
      </c>
      <c r="D156" s="109" t="s">
        <v>132</v>
      </c>
      <c r="E156" s="102" t="s">
        <v>1332</v>
      </c>
      <c r="F156" s="102" t="s">
        <v>1333</v>
      </c>
      <c r="G156" s="102" t="s">
        <v>1334</v>
      </c>
      <c r="H156" s="102" t="s">
        <v>1335</v>
      </c>
      <c r="I156" s="102" t="s">
        <v>1336</v>
      </c>
      <c r="J156" s="102" t="s">
        <v>1337</v>
      </c>
      <c r="K156" s="102" t="s">
        <v>1338</v>
      </c>
      <c r="L156" s="10" t="str">
        <f t="shared" si="3"/>
        <v>Flat Fee</v>
      </c>
    </row>
    <row r="157" spans="1:12">
      <c r="A157" s="14" t="s">
        <v>1306</v>
      </c>
      <c r="B157" s="13" t="s">
        <v>130</v>
      </c>
      <c r="C157" s="3" t="s">
        <v>1339</v>
      </c>
      <c r="D157" s="109" t="s">
        <v>132</v>
      </c>
      <c r="E157" t="s">
        <v>1339</v>
      </c>
      <c r="F157" t="s">
        <v>1339</v>
      </c>
      <c r="G157" t="s">
        <v>1339</v>
      </c>
      <c r="H157" t="s">
        <v>1339</v>
      </c>
      <c r="I157" t="s">
        <v>1339</v>
      </c>
      <c r="J157" t="s">
        <v>1339</v>
      </c>
      <c r="K157" t="s">
        <v>1339</v>
      </c>
      <c r="L157" s="10" t="str">
        <f t="shared" si="3"/>
        <v>Michie</v>
      </c>
    </row>
    <row r="158" spans="1:12">
      <c r="A158" s="14" t="s">
        <v>1306</v>
      </c>
      <c r="B158" s="13" t="s">
        <v>130</v>
      </c>
      <c r="C158" s="3" t="s">
        <v>1340</v>
      </c>
      <c r="D158" s="109" t="s">
        <v>132</v>
      </c>
      <c r="E158" t="s">
        <v>1340</v>
      </c>
      <c r="F158" t="s">
        <v>1340</v>
      </c>
      <c r="G158" t="s">
        <v>1340</v>
      </c>
      <c r="H158" t="s">
        <v>1340</v>
      </c>
      <c r="I158" t="s">
        <v>1340</v>
      </c>
      <c r="J158" t="s">
        <v>1340</v>
      </c>
      <c r="K158" t="s">
        <v>1340</v>
      </c>
      <c r="L158" s="10" t="str">
        <f t="shared" si="3"/>
        <v>Matthew Bender</v>
      </c>
    </row>
    <row r="159" spans="1:12">
      <c r="A159" s="14" t="s">
        <v>1306</v>
      </c>
      <c r="B159" s="13" t="s">
        <v>130</v>
      </c>
      <c r="C159" s="3" t="s">
        <v>1341</v>
      </c>
      <c r="D159" s="109" t="s">
        <v>132</v>
      </c>
      <c r="E159" s="102" t="s">
        <v>1342</v>
      </c>
      <c r="F159" s="102" t="s">
        <v>1343</v>
      </c>
      <c r="G159" s="102" t="s">
        <v>1344</v>
      </c>
      <c r="H159" s="102" t="s">
        <v>1345</v>
      </c>
      <c r="I159" s="102" t="s">
        <v>1346</v>
      </c>
      <c r="J159" s="102" t="s">
        <v>1347</v>
      </c>
      <c r="K159" s="102" t="s">
        <v>1348</v>
      </c>
      <c r="L159" s="10" t="str">
        <f t="shared" si="3"/>
        <v>Flat Fee and Michie</v>
      </c>
    </row>
    <row r="160" spans="1:12">
      <c r="A160" s="14" t="s">
        <v>1306</v>
      </c>
      <c r="B160" s="13" t="s">
        <v>130</v>
      </c>
      <c r="C160" s="3" t="s">
        <v>1349</v>
      </c>
      <c r="D160" s="109" t="s">
        <v>132</v>
      </c>
      <c r="E160" s="102" t="s">
        <v>1350</v>
      </c>
      <c r="F160" s="102" t="s">
        <v>1351</v>
      </c>
      <c r="G160" s="102" t="s">
        <v>1352</v>
      </c>
      <c r="H160" s="102" t="s">
        <v>1353</v>
      </c>
      <c r="I160" s="102" t="s">
        <v>1354</v>
      </c>
      <c r="J160" s="102" t="s">
        <v>1355</v>
      </c>
      <c r="K160" s="102" t="s">
        <v>1356</v>
      </c>
      <c r="L160" s="10" t="str">
        <f t="shared" si="3"/>
        <v>Flat Fee and Matthew Bender</v>
      </c>
    </row>
    <row r="161" spans="1:12">
      <c r="A161" s="14" t="s">
        <v>1306</v>
      </c>
      <c r="B161" s="13" t="s">
        <v>130</v>
      </c>
      <c r="C161" s="3" t="s">
        <v>1357</v>
      </c>
      <c r="D161" s="109" t="s">
        <v>132</v>
      </c>
      <c r="E161" s="102" t="s">
        <v>1358</v>
      </c>
      <c r="F161" s="102" t="s">
        <v>1359</v>
      </c>
      <c r="G161" s="102" t="s">
        <v>1099</v>
      </c>
      <c r="H161" s="102" t="s">
        <v>1360</v>
      </c>
      <c r="I161" s="102" t="s">
        <v>1096</v>
      </c>
      <c r="J161" s="102" t="s">
        <v>1361</v>
      </c>
      <c r="K161" s="102" t="s">
        <v>1103</v>
      </c>
      <c r="L161" s="10" t="str">
        <f t="shared" si="3"/>
        <v>Royalty</v>
      </c>
    </row>
    <row r="162" spans="1:12">
      <c r="A162" s="14" t="s">
        <v>1306</v>
      </c>
      <c r="B162" s="13" t="s">
        <v>130</v>
      </c>
      <c r="C162" s="3" t="s">
        <v>1362</v>
      </c>
      <c r="D162" s="109" t="s">
        <v>132</v>
      </c>
      <c r="E162" s="102" t="s">
        <v>1363</v>
      </c>
      <c r="F162" s="102" t="s">
        <v>1364</v>
      </c>
      <c r="G162" s="102" t="s">
        <v>1365</v>
      </c>
      <c r="H162" s="102" t="s">
        <v>1366</v>
      </c>
      <c r="I162" s="102" t="s">
        <v>1367</v>
      </c>
      <c r="J162" s="102" t="s">
        <v>1368</v>
      </c>
      <c r="K162" s="102" t="s">
        <v>1369</v>
      </c>
      <c r="L162" s="10" t="str">
        <f t="shared" si="3"/>
        <v>Flat Fee and Royalty</v>
      </c>
    </row>
    <row r="163" spans="1:12" s="8" customFormat="1" ht="43.2">
      <c r="A163" s="14" t="s">
        <v>1370</v>
      </c>
      <c r="B163" s="13" t="s">
        <v>130</v>
      </c>
      <c r="C163" s="10" t="s">
        <v>1371</v>
      </c>
      <c r="D163" s="8" t="s">
        <v>132</v>
      </c>
      <c r="E163" s="101" t="s">
        <v>1372</v>
      </c>
      <c r="F163" s="101" t="s">
        <v>1373</v>
      </c>
      <c r="G163" s="101" t="s">
        <v>1374</v>
      </c>
      <c r="H163" s="101" t="s">
        <v>1375</v>
      </c>
      <c r="I163" s="101" t="s">
        <v>1376</v>
      </c>
      <c r="J163" s="101" t="s">
        <v>1377</v>
      </c>
      <c r="K163" s="101" t="s">
        <v>1378</v>
      </c>
      <c r="L163" s="10" t="str">
        <f t="shared" si="3"/>
        <v>Note: Two supplier ID's will be created - one for Flat Fee and another for Michie.</v>
      </c>
    </row>
    <row r="164" spans="1:12" s="8" customFormat="1" ht="43.2">
      <c r="A164" s="14" t="s">
        <v>1379</v>
      </c>
      <c r="B164" s="13" t="s">
        <v>130</v>
      </c>
      <c r="C164" s="10" t="s">
        <v>1380</v>
      </c>
      <c r="D164" s="8" t="s">
        <v>132</v>
      </c>
      <c r="E164" s="101" t="s">
        <v>1381</v>
      </c>
      <c r="F164" s="101" t="s">
        <v>1382</v>
      </c>
      <c r="G164" s="101" t="s">
        <v>1383</v>
      </c>
      <c r="H164" s="101" t="s">
        <v>1384</v>
      </c>
      <c r="I164" s="101" t="s">
        <v>1385</v>
      </c>
      <c r="J164" s="101" t="s">
        <v>1386</v>
      </c>
      <c r="K164" s="101" t="s">
        <v>1387</v>
      </c>
      <c r="L164" s="10" t="str">
        <f t="shared" si="3"/>
        <v>Note: Two supplier ID's will be created - one for Flat Fee and another for Matthew Bender.</v>
      </c>
    </row>
    <row r="165" spans="1:12" ht="43.2">
      <c r="A165" s="14" t="s">
        <v>1388</v>
      </c>
      <c r="B165" s="13" t="s">
        <v>130</v>
      </c>
      <c r="C165" s="10" t="s">
        <v>1389</v>
      </c>
      <c r="D165" s="8" t="s">
        <v>132</v>
      </c>
      <c r="E165" s="101" t="s">
        <v>1390</v>
      </c>
      <c r="F165" s="101" t="s">
        <v>1391</v>
      </c>
      <c r="G165" s="101" t="s">
        <v>1392</v>
      </c>
      <c r="H165" s="101" t="s">
        <v>1393</v>
      </c>
      <c r="I165" s="101" t="s">
        <v>1394</v>
      </c>
      <c r="J165" s="101" t="s">
        <v>1395</v>
      </c>
      <c r="K165" s="101" t="s">
        <v>1396</v>
      </c>
      <c r="L165" s="10" t="str">
        <f t="shared" si="3"/>
        <v>Note: Two supplier ID's will be created - one for Flat Fee and another for Royalty.</v>
      </c>
    </row>
    <row r="166" spans="1:12">
      <c r="A166" s="14" t="s">
        <v>1397</v>
      </c>
      <c r="B166" s="13" t="s">
        <v>130</v>
      </c>
      <c r="C166" s="10" t="s">
        <v>1398</v>
      </c>
      <c r="D166" s="8" t="s">
        <v>132</v>
      </c>
      <c r="E166" s="102" t="s">
        <v>1399</v>
      </c>
      <c r="F166" s="102" t="s">
        <v>1400</v>
      </c>
      <c r="G166" s="102" t="s">
        <v>1401</v>
      </c>
      <c r="H166" s="102" t="s">
        <v>1402</v>
      </c>
      <c r="I166" s="102" t="s">
        <v>1403</v>
      </c>
      <c r="J166" s="102" t="s">
        <v>1404</v>
      </c>
      <c r="K166" s="102" t="s">
        <v>1405</v>
      </c>
      <c r="L166" s="10" t="str">
        <f t="shared" si="3"/>
        <v>Is this a Flat Fee author?</v>
      </c>
    </row>
    <row r="167" spans="1:12">
      <c r="A167" s="14" t="s">
        <v>1406</v>
      </c>
      <c r="B167" s="13" t="s">
        <v>130</v>
      </c>
      <c r="C167" s="10" t="s">
        <v>1407</v>
      </c>
      <c r="D167" s="8" t="s">
        <v>132</v>
      </c>
      <c r="E167" s="102" t="s">
        <v>1408</v>
      </c>
      <c r="F167" s="102" t="s">
        <v>1409</v>
      </c>
      <c r="G167" s="102" t="s">
        <v>1410</v>
      </c>
      <c r="H167" s="102" t="s">
        <v>1411</v>
      </c>
      <c r="I167" s="102" t="s">
        <v>1412</v>
      </c>
      <c r="J167" s="102" t="s">
        <v>1413</v>
      </c>
      <c r="K167" s="102" t="s">
        <v>1414</v>
      </c>
      <c r="L167" s="10" t="str">
        <f t="shared" si="3"/>
        <v>Is this a Royalty author?</v>
      </c>
    </row>
    <row r="168" spans="1:12" s="8" customFormat="1" ht="28.8">
      <c r="A168" s="14" t="s">
        <v>1415</v>
      </c>
      <c r="B168" s="14" t="s">
        <v>130</v>
      </c>
      <c r="C168" s="10" t="s">
        <v>1416</v>
      </c>
      <c r="D168" s="8" t="s">
        <v>132</v>
      </c>
      <c r="E168" s="99" t="s">
        <v>1417</v>
      </c>
      <c r="F168" s="99" t="s">
        <v>1418</v>
      </c>
      <c r="G168" s="101" t="s">
        <v>1419</v>
      </c>
      <c r="H168" s="101" t="s">
        <v>1420</v>
      </c>
      <c r="I168" s="101" t="s">
        <v>1421</v>
      </c>
      <c r="J168" s="101" t="s">
        <v>1422</v>
      </c>
      <c r="K168" s="101" t="s">
        <v>1423</v>
      </c>
      <c r="L168" s="10" t="str">
        <f t="shared" si="3"/>
        <v>Is this a Matthew Bender or a Michie?</v>
      </c>
    </row>
    <row r="169" spans="1:12">
      <c r="A169" s="14" t="s">
        <v>1424</v>
      </c>
      <c r="B169" s="13" t="s">
        <v>130</v>
      </c>
      <c r="C169" s="10" t="s">
        <v>1425</v>
      </c>
      <c r="D169" s="8" t="s">
        <v>132</v>
      </c>
      <c r="E169" s="101" t="s">
        <v>1426</v>
      </c>
      <c r="F169" s="101" t="s">
        <v>1427</v>
      </c>
      <c r="G169" s="101" t="s">
        <v>1428</v>
      </c>
      <c r="H169" s="101" t="s">
        <v>1429</v>
      </c>
      <c r="I169" s="101" t="s">
        <v>1430</v>
      </c>
      <c r="J169" s="101" t="s">
        <v>1431</v>
      </c>
      <c r="K169" s="101" t="s">
        <v>1432</v>
      </c>
      <c r="L169" s="10" t="str">
        <f t="shared" si="3"/>
        <v>Matthew Bender (Pub Number 0-9999)</v>
      </c>
    </row>
    <row r="170" spans="1:12">
      <c r="A170" s="14" t="s">
        <v>1424</v>
      </c>
      <c r="B170" s="13" t="s">
        <v>130</v>
      </c>
      <c r="C170" s="10" t="s">
        <v>1433</v>
      </c>
      <c r="D170" s="8" t="s">
        <v>132</v>
      </c>
      <c r="E170" s="101" t="s">
        <v>1434</v>
      </c>
      <c r="F170" s="101" t="s">
        <v>1435</v>
      </c>
      <c r="G170" s="101" t="s">
        <v>1436</v>
      </c>
      <c r="H170" s="101" t="s">
        <v>1437</v>
      </c>
      <c r="I170" s="101" t="s">
        <v>1438</v>
      </c>
      <c r="J170" s="101" t="s">
        <v>1439</v>
      </c>
      <c r="K170" s="101" t="s">
        <v>1440</v>
      </c>
      <c r="L170" s="10" t="str">
        <f t="shared" ref="L170:L233" si="4">IF($E$1=$C$2,C170,IF($E$1=$E$2,CONCATENATE(E170,B170,C170,D170),IF($E$1=$F$2,CONCATENATE(F170,B170,C170,D170),IF($E$1=$G$2,CONCATENATE(G170,B170,C170,D170),IF($E$1=$H$2,CONCATENATE(H170,B170,C170,D170),IF($E$1=$I$2,CONCATENATE(I170,B170,C170,D170),IF($E$1=$J$2,CONCATENATE(J170,B170,C170,D170),IF($E$1=$K$2,CONCATENATE(K170,B170,C170,D170),C170))))))))</f>
        <v>Michie (Pub Number 10000 and up)</v>
      </c>
    </row>
    <row r="171" spans="1:12" ht="28.8">
      <c r="A171" s="14" t="s">
        <v>1441</v>
      </c>
      <c r="B171" s="13" t="s">
        <v>130</v>
      </c>
      <c r="C171" s="187" t="s">
        <v>1442</v>
      </c>
      <c r="D171" s="8" t="s">
        <v>132</v>
      </c>
      <c r="E171" s="101" t="s">
        <v>1443</v>
      </c>
      <c r="F171" s="101" t="s">
        <v>1444</v>
      </c>
      <c r="G171" s="101" t="s">
        <v>1445</v>
      </c>
      <c r="H171" s="101" t="s">
        <v>1446</v>
      </c>
      <c r="I171" s="101" t="s">
        <v>1447</v>
      </c>
      <c r="J171" s="101" t="s">
        <v>1448</v>
      </c>
      <c r="K171" s="99" t="s">
        <v>1449</v>
      </c>
      <c r="L171" s="10" t="str">
        <f t="shared" si="4"/>
        <v>Is this Canada Online or Canada Print?</v>
      </c>
    </row>
    <row r="172" spans="1:12" s="89" customFormat="1" ht="43.2">
      <c r="A172" s="86" t="s">
        <v>1450</v>
      </c>
      <c r="B172" s="86" t="s">
        <v>130</v>
      </c>
      <c r="C172" s="10" t="s">
        <v>1451</v>
      </c>
      <c r="D172" s="89" t="s">
        <v>132</v>
      </c>
      <c r="E172" s="101" t="s">
        <v>1452</v>
      </c>
      <c r="F172" s="101" t="s">
        <v>1453</v>
      </c>
      <c r="G172" s="101" t="s">
        <v>1454</v>
      </c>
      <c r="H172" s="101" t="s">
        <v>1455</v>
      </c>
      <c r="I172" s="101" t="s">
        <v>1456</v>
      </c>
      <c r="J172" s="101" t="s">
        <v>1457</v>
      </c>
      <c r="K172" s="101" t="s">
        <v>1458</v>
      </c>
      <c r="L172" s="10" t="str">
        <f t="shared" si="4"/>
        <v>MSME certificate is required. Please submit with your completed form.</v>
      </c>
    </row>
    <row r="173" spans="1:12">
      <c r="A173" s="14" t="s">
        <v>1459</v>
      </c>
      <c r="B173" s="13" t="s">
        <v>130</v>
      </c>
      <c r="C173" s="10" t="s">
        <v>1460</v>
      </c>
      <c r="D173" s="89" t="s">
        <v>132</v>
      </c>
      <c r="E173" s="102" t="s">
        <v>941</v>
      </c>
      <c r="F173" s="102" t="s">
        <v>1461</v>
      </c>
      <c r="G173" s="102" t="s">
        <v>1462</v>
      </c>
      <c r="H173" s="102" t="s">
        <v>1463</v>
      </c>
      <c r="I173" s="102" t="s">
        <v>1464</v>
      </c>
      <c r="J173" s="102" t="s">
        <v>1465</v>
      </c>
      <c r="K173" s="102" t="s">
        <v>1466</v>
      </c>
      <c r="L173" s="10" t="str">
        <f t="shared" si="4"/>
        <v>Company</v>
      </c>
    </row>
    <row r="174" spans="1:12">
      <c r="A174" s="14" t="s">
        <v>1459</v>
      </c>
      <c r="B174" s="13" t="s">
        <v>130</v>
      </c>
      <c r="C174" s="10" t="s">
        <v>1467</v>
      </c>
      <c r="D174" s="89" t="s">
        <v>132</v>
      </c>
      <c r="E174" s="102" t="s">
        <v>1468</v>
      </c>
      <c r="F174" s="102" t="s">
        <v>1469</v>
      </c>
      <c r="G174" s="102" t="s">
        <v>1470</v>
      </c>
      <c r="H174" s="102" t="s">
        <v>1471</v>
      </c>
      <c r="I174" s="102" t="s">
        <v>1472</v>
      </c>
      <c r="J174" s="102" t="s">
        <v>1467</v>
      </c>
      <c r="K174" s="102" t="s">
        <v>1473</v>
      </c>
      <c r="L174" s="10" t="str">
        <f t="shared" si="4"/>
        <v>Individual</v>
      </c>
    </row>
    <row r="175" spans="1:12" ht="40.5" customHeight="1">
      <c r="A175" s="14" t="s">
        <v>1474</v>
      </c>
      <c r="B175" s="13" t="s">
        <v>130</v>
      </c>
      <c r="C175" s="10" t="s">
        <v>1475</v>
      </c>
      <c r="D175" s="89" t="s">
        <v>132</v>
      </c>
      <c r="E175" s="102" t="s">
        <v>1476</v>
      </c>
      <c r="F175" s="102" t="s">
        <v>1477</v>
      </c>
      <c r="G175" s="102" t="s">
        <v>1478</v>
      </c>
      <c r="H175" s="102" t="s">
        <v>1479</v>
      </c>
      <c r="I175" s="102" t="s">
        <v>1480</v>
      </c>
      <c r="J175" s="102" t="s">
        <v>1481</v>
      </c>
      <c r="K175" s="102" t="s">
        <v>1482</v>
      </c>
      <c r="L175" s="10" t="str">
        <f t="shared" si="4"/>
        <v>Registration Number (Required)</v>
      </c>
    </row>
    <row r="176" spans="1:12" ht="58.5" customHeight="1">
      <c r="A176" s="14" t="s">
        <v>1483</v>
      </c>
      <c r="B176" s="13" t="s">
        <v>130</v>
      </c>
      <c r="C176" s="10" t="s">
        <v>1484</v>
      </c>
      <c r="D176" s="168" t="s">
        <v>132</v>
      </c>
      <c r="E176" s="99" t="s">
        <v>1485</v>
      </c>
      <c r="F176" s="99" t="s">
        <v>1486</v>
      </c>
      <c r="G176" s="99" t="s">
        <v>1487</v>
      </c>
      <c r="H176" s="99" t="s">
        <v>1488</v>
      </c>
      <c r="I176" s="99" t="s">
        <v>1489</v>
      </c>
      <c r="J176" s="99" t="s">
        <v>1490</v>
      </c>
      <c r="K176" s="99" t="s">
        <v>1491</v>
      </c>
      <c r="L176" s="10" t="str">
        <f t="shared" si="4"/>
        <v>User Account Email Address</v>
      </c>
    </row>
    <row r="177" spans="1:12" ht="57.6">
      <c r="A177" s="14" t="s">
        <v>1492</v>
      </c>
      <c r="B177" s="13" t="s">
        <v>130</v>
      </c>
      <c r="C177" s="89" t="s">
        <v>1493</v>
      </c>
      <c r="D177" s="168" t="s">
        <v>132</v>
      </c>
      <c r="E177" s="101" t="s">
        <v>1494</v>
      </c>
      <c r="F177" s="101" t="s">
        <v>1495</v>
      </c>
      <c r="G177" s="101" t="s">
        <v>1496</v>
      </c>
      <c r="H177" s="101" t="s">
        <v>1497</v>
      </c>
      <c r="I177" s="101" t="s">
        <v>1498</v>
      </c>
      <c r="J177" s="101" t="s">
        <v>1499</v>
      </c>
      <c r="K177" s="101" t="s">
        <v>1500</v>
      </c>
      <c r="L177" s="10" t="str">
        <f t="shared" si="4"/>
        <v>(Will be given access to setup supplier profile and bank information in the supplier portal - when available.)</v>
      </c>
    </row>
    <row r="178" spans="1:12">
      <c r="A178" s="14" t="s">
        <v>1501</v>
      </c>
      <c r="B178" s="13" t="s">
        <v>130</v>
      </c>
      <c r="C178" s="10" t="s">
        <v>1502</v>
      </c>
      <c r="D178" s="168" t="s">
        <v>132</v>
      </c>
      <c r="E178" s="102" t="s">
        <v>1503</v>
      </c>
      <c r="F178" s="102" t="s">
        <v>1504</v>
      </c>
      <c r="G178" s="102" t="s">
        <v>1505</v>
      </c>
      <c r="H178" s="102" t="s">
        <v>1506</v>
      </c>
      <c r="I178" s="102" t="s">
        <v>1507</v>
      </c>
      <c r="J178" s="102" t="s">
        <v>1508</v>
      </c>
      <c r="K178" s="102" t="s">
        <v>1509</v>
      </c>
      <c r="L178" s="10" t="str">
        <f t="shared" si="4"/>
        <v>Estimated annual spend with supplier (USD):</v>
      </c>
    </row>
    <row r="179" spans="1:12" ht="108" customHeight="1">
      <c r="A179" s="14" t="s">
        <v>1501</v>
      </c>
      <c r="B179" s="13" t="s">
        <v>130</v>
      </c>
      <c r="C179" s="10" t="s">
        <v>1510</v>
      </c>
      <c r="D179" s="168" t="s">
        <v>132</v>
      </c>
      <c r="E179" s="101" t="s">
        <v>1511</v>
      </c>
      <c r="F179" s="101" t="s">
        <v>1512</v>
      </c>
      <c r="G179" s="101" t="s">
        <v>1513</v>
      </c>
      <c r="H179" s="101" t="s">
        <v>1514</v>
      </c>
      <c r="I179" s="101" t="s">
        <v>1515</v>
      </c>
      <c r="J179" s="101" t="s">
        <v>1516</v>
      </c>
      <c r="K179" s="101" t="s">
        <v>1517</v>
      </c>
      <c r="L179" s="10" t="str">
        <f t="shared" si="4"/>
        <v>Do you believe this supplier is or will soon become one of the topmost 1% of critical suppliers from a business resiliency perspective for your RELX Business Area (RELX Corp, Elsevier, LNLP, Risk, or RX)?</v>
      </c>
    </row>
    <row r="180" spans="1:12" ht="33.75" customHeight="1">
      <c r="A180" s="14" t="s">
        <v>1501</v>
      </c>
      <c r="B180" s="13" t="s">
        <v>130</v>
      </c>
      <c r="C180" s="10" t="s">
        <v>1518</v>
      </c>
      <c r="D180" s="168" t="s">
        <v>132</v>
      </c>
      <c r="E180" s="101" t="s">
        <v>1519</v>
      </c>
      <c r="F180" s="101" t="s">
        <v>1520</v>
      </c>
      <c r="G180" s="101" t="s">
        <v>1521</v>
      </c>
      <c r="H180" s="101" t="s">
        <v>1522</v>
      </c>
      <c r="I180" s="101" t="s">
        <v>1523</v>
      </c>
      <c r="J180" s="101" t="s">
        <v>1524</v>
      </c>
      <c r="K180" s="101" t="s">
        <v>1525</v>
      </c>
      <c r="L180" s="10" t="str">
        <f t="shared" si="4"/>
        <v>Will initial term with supplier be one year or less?</v>
      </c>
    </row>
    <row r="181" spans="1:12" ht="28.8">
      <c r="A181" s="14" t="s">
        <v>1501</v>
      </c>
      <c r="B181" s="13" t="s">
        <v>130</v>
      </c>
      <c r="C181" s="10" t="s">
        <v>1526</v>
      </c>
      <c r="D181" s="168" t="s">
        <v>132</v>
      </c>
      <c r="E181" s="101" t="s">
        <v>1527</v>
      </c>
      <c r="F181" s="101" t="s">
        <v>1528</v>
      </c>
      <c r="G181" s="101" t="s">
        <v>1529</v>
      </c>
      <c r="H181" s="101" t="s">
        <v>1530</v>
      </c>
      <c r="I181" s="101" t="s">
        <v>1531</v>
      </c>
      <c r="J181" s="101" t="s">
        <v>1532</v>
      </c>
      <c r="K181" s="101" t="s">
        <v>1533</v>
      </c>
      <c r="L181" s="10" t="str">
        <f t="shared" si="4"/>
        <v>Is a contract on file with this supplier?</v>
      </c>
    </row>
    <row r="182" spans="1:12">
      <c r="A182" s="14" t="s">
        <v>1501</v>
      </c>
      <c r="B182" s="13" t="s">
        <v>130</v>
      </c>
      <c r="C182" s="10" t="s">
        <v>1534</v>
      </c>
      <c r="D182" s="168" t="s">
        <v>132</v>
      </c>
      <c r="E182" s="101" t="s">
        <v>1535</v>
      </c>
      <c r="F182" s="101" t="s">
        <v>1536</v>
      </c>
      <c r="G182" s="101" t="s">
        <v>1537</v>
      </c>
      <c r="H182" s="101" t="s">
        <v>1538</v>
      </c>
      <c r="I182" s="101" t="s">
        <v>1539</v>
      </c>
      <c r="J182" s="101" t="s">
        <v>1540</v>
      </c>
      <c r="K182" s="101" t="s">
        <v>1541</v>
      </c>
      <c r="L182" s="10" t="str">
        <f t="shared" si="4"/>
        <v>In Progress</v>
      </c>
    </row>
    <row r="183" spans="1:12">
      <c r="A183" s="14" t="s">
        <v>1542</v>
      </c>
      <c r="B183" s="13" t="s">
        <v>130</v>
      </c>
      <c r="C183" s="10" t="s">
        <v>1543</v>
      </c>
      <c r="D183" s="168" t="s">
        <v>132</v>
      </c>
      <c r="E183" s="101" t="s">
        <v>1544</v>
      </c>
      <c r="F183" s="101" t="s">
        <v>1545</v>
      </c>
      <c r="G183" s="101" t="s">
        <v>1546</v>
      </c>
      <c r="H183" s="101" t="s">
        <v>1547</v>
      </c>
      <c r="I183" s="101" t="s">
        <v>1548</v>
      </c>
      <c r="J183" s="101" t="s">
        <v>1549</v>
      </c>
      <c r="K183" s="101" t="s">
        <v>1550</v>
      </c>
      <c r="L183" s="10" t="str">
        <f t="shared" si="4"/>
        <v>Procurement BU</v>
      </c>
    </row>
    <row r="184" spans="1:12">
      <c r="A184" s="14" t="s">
        <v>1551</v>
      </c>
      <c r="B184" s="13" t="s">
        <v>130</v>
      </c>
      <c r="C184" s="10" t="s">
        <v>1552</v>
      </c>
      <c r="D184" s="168" t="s">
        <v>132</v>
      </c>
      <c r="E184" s="102" t="s">
        <v>1553</v>
      </c>
      <c r="F184" s="102" t="s">
        <v>1554</v>
      </c>
      <c r="G184" s="102" t="s">
        <v>1555</v>
      </c>
      <c r="H184" s="102" t="s">
        <v>1556</v>
      </c>
      <c r="I184" s="102" t="s">
        <v>1557</v>
      </c>
      <c r="J184" s="102" t="s">
        <v>1558</v>
      </c>
      <c r="K184" s="102" t="s">
        <v>1559</v>
      </c>
      <c r="L184" s="10" t="str">
        <f t="shared" si="4"/>
        <v>Organization Type</v>
      </c>
    </row>
    <row r="185" spans="1:12">
      <c r="A185" s="14" t="s">
        <v>1551</v>
      </c>
      <c r="B185" s="13" t="s">
        <v>130</v>
      </c>
      <c r="C185" s="10" t="s">
        <v>1560</v>
      </c>
      <c r="D185" s="168" t="s">
        <v>132</v>
      </c>
      <c r="E185" s="102" t="s">
        <v>1561</v>
      </c>
      <c r="F185" s="102" t="s">
        <v>1461</v>
      </c>
      <c r="G185" s="102" t="s">
        <v>1562</v>
      </c>
      <c r="H185" s="102" t="s">
        <v>1563</v>
      </c>
      <c r="I185" s="102" t="s">
        <v>1560</v>
      </c>
      <c r="J185" s="102" t="s">
        <v>1564</v>
      </c>
      <c r="K185" s="102" t="s">
        <v>1466</v>
      </c>
      <c r="L185" s="10" t="str">
        <f t="shared" si="4"/>
        <v>Corporation</v>
      </c>
    </row>
    <row r="186" spans="1:12">
      <c r="A186" s="14" t="s">
        <v>1551</v>
      </c>
      <c r="B186" s="13" t="s">
        <v>130</v>
      </c>
      <c r="C186" s="10" t="s">
        <v>1565</v>
      </c>
      <c r="D186" s="168" t="s">
        <v>132</v>
      </c>
      <c r="E186" s="102" t="s">
        <v>1566</v>
      </c>
      <c r="F186" s="102" t="s">
        <v>1567</v>
      </c>
      <c r="G186" s="102" t="s">
        <v>1568</v>
      </c>
      <c r="H186" s="102" t="s">
        <v>1569</v>
      </c>
      <c r="I186" s="102" t="s">
        <v>1570</v>
      </c>
      <c r="J186" s="102" t="s">
        <v>1571</v>
      </c>
      <c r="K186" s="102" t="s">
        <v>1572</v>
      </c>
      <c r="L186" s="10" t="str">
        <f t="shared" si="4"/>
        <v>Foreign Corporation</v>
      </c>
    </row>
    <row r="187" spans="1:12">
      <c r="A187" s="14" t="s">
        <v>1551</v>
      </c>
      <c r="B187" s="13" t="s">
        <v>130</v>
      </c>
      <c r="C187" s="10" t="s">
        <v>1573</v>
      </c>
      <c r="D187" s="168" t="s">
        <v>132</v>
      </c>
      <c r="E187" s="102" t="s">
        <v>1574</v>
      </c>
      <c r="F187" s="102" t="s">
        <v>1575</v>
      </c>
      <c r="G187" s="102" t="s">
        <v>1576</v>
      </c>
      <c r="H187" s="102" t="s">
        <v>1577</v>
      </c>
      <c r="I187" s="102" t="s">
        <v>1578</v>
      </c>
      <c r="J187" s="102" t="s">
        <v>1579</v>
      </c>
      <c r="K187" s="102" t="s">
        <v>1580</v>
      </c>
      <c r="L187" s="10" t="str">
        <f t="shared" si="4"/>
        <v>Foreign Government Agency</v>
      </c>
    </row>
    <row r="188" spans="1:12">
      <c r="A188" s="14" t="s">
        <v>1551</v>
      </c>
      <c r="B188" s="13" t="s">
        <v>130</v>
      </c>
      <c r="C188" s="10" t="s">
        <v>1581</v>
      </c>
      <c r="D188" s="168" t="s">
        <v>132</v>
      </c>
      <c r="E188" s="102" t="s">
        <v>1582</v>
      </c>
      <c r="F188" s="102" t="s">
        <v>1583</v>
      </c>
      <c r="G188" s="102" t="s">
        <v>1584</v>
      </c>
      <c r="H188" s="102" t="s">
        <v>1585</v>
      </c>
      <c r="I188" s="102" t="s">
        <v>1586</v>
      </c>
      <c r="J188" s="102" t="s">
        <v>1587</v>
      </c>
      <c r="K188" s="102" t="s">
        <v>1588</v>
      </c>
      <c r="L188" s="10" t="str">
        <f t="shared" si="4"/>
        <v>Foreign Individual</v>
      </c>
    </row>
    <row r="189" spans="1:12">
      <c r="A189" s="14" t="s">
        <v>1551</v>
      </c>
      <c r="B189" s="13" t="s">
        <v>130</v>
      </c>
      <c r="C189" s="10" t="s">
        <v>1589</v>
      </c>
      <c r="D189" s="168" t="s">
        <v>132</v>
      </c>
      <c r="E189" s="102" t="s">
        <v>1590</v>
      </c>
      <c r="F189" s="102" t="s">
        <v>1591</v>
      </c>
      <c r="G189" s="102" t="s">
        <v>1592</v>
      </c>
      <c r="H189" s="102" t="s">
        <v>1593</v>
      </c>
      <c r="I189" s="102" t="s">
        <v>1594</v>
      </c>
      <c r="J189" s="102" t="s">
        <v>1595</v>
      </c>
      <c r="K189" s="102" t="s">
        <v>1596</v>
      </c>
      <c r="L189" s="10" t="str">
        <f t="shared" si="4"/>
        <v>Foreign Partnership</v>
      </c>
    </row>
    <row r="190" spans="1:12">
      <c r="A190" s="14" t="s">
        <v>1551</v>
      </c>
      <c r="B190" s="13" t="s">
        <v>130</v>
      </c>
      <c r="C190" s="10" t="s">
        <v>1597</v>
      </c>
      <c r="D190" s="168" t="s">
        <v>132</v>
      </c>
      <c r="E190" s="102" t="s">
        <v>1598</v>
      </c>
      <c r="F190" s="102" t="s">
        <v>1599</v>
      </c>
      <c r="G190" s="102" t="s">
        <v>1600</v>
      </c>
      <c r="H190" s="102" t="s">
        <v>1601</v>
      </c>
      <c r="I190" s="102" t="s">
        <v>1602</v>
      </c>
      <c r="J190" s="102" t="s">
        <v>1603</v>
      </c>
      <c r="K190" s="102" t="s">
        <v>1604</v>
      </c>
      <c r="L190" s="10" t="str">
        <f t="shared" si="4"/>
        <v>Government Agency</v>
      </c>
    </row>
    <row r="191" spans="1:12">
      <c r="A191" s="14" t="s">
        <v>1551</v>
      </c>
      <c r="B191" s="13" t="s">
        <v>130</v>
      </c>
      <c r="C191" s="10" t="s">
        <v>1467</v>
      </c>
      <c r="D191" s="168" t="s">
        <v>132</v>
      </c>
      <c r="E191" s="102" t="s">
        <v>1468</v>
      </c>
      <c r="F191" s="102" t="s">
        <v>1469</v>
      </c>
      <c r="G191" s="102" t="s">
        <v>1470</v>
      </c>
      <c r="H191" s="102" t="s">
        <v>1471</v>
      </c>
      <c r="I191" s="102" t="s">
        <v>1605</v>
      </c>
      <c r="J191" s="102" t="s">
        <v>1467</v>
      </c>
      <c r="K191" s="102" t="s">
        <v>1606</v>
      </c>
      <c r="L191" s="10" t="str">
        <f t="shared" si="4"/>
        <v>Individual</v>
      </c>
    </row>
    <row r="192" spans="1:12">
      <c r="A192" s="14" t="s">
        <v>1551</v>
      </c>
      <c r="B192" s="13" t="s">
        <v>130</v>
      </c>
      <c r="C192" s="10" t="s">
        <v>1607</v>
      </c>
      <c r="D192" s="168" t="s">
        <v>132</v>
      </c>
      <c r="E192" s="102" t="s">
        <v>1608</v>
      </c>
      <c r="F192" s="102" t="s">
        <v>1609</v>
      </c>
      <c r="G192" s="102" t="s">
        <v>1610</v>
      </c>
      <c r="H192" s="102" t="s">
        <v>1611</v>
      </c>
      <c r="I192" s="102" t="s">
        <v>1612</v>
      </c>
      <c r="J192" s="102" t="s">
        <v>1613</v>
      </c>
      <c r="K192" s="102" t="s">
        <v>1614</v>
      </c>
      <c r="L192" s="10" t="str">
        <f t="shared" si="4"/>
        <v>Partnership</v>
      </c>
    </row>
    <row r="193" spans="1:12">
      <c r="A193" s="14" t="s">
        <v>1615</v>
      </c>
      <c r="B193" s="13" t="s">
        <v>130</v>
      </c>
      <c r="C193" s="10" t="s">
        <v>1616</v>
      </c>
      <c r="D193" s="168" t="s">
        <v>132</v>
      </c>
      <c r="E193" s="102" t="s">
        <v>1617</v>
      </c>
      <c r="F193" s="101" t="s">
        <v>1618</v>
      </c>
      <c r="G193" s="101" t="s">
        <v>1619</v>
      </c>
      <c r="H193" s="101" t="s">
        <v>1620</v>
      </c>
      <c r="I193" s="102" t="s">
        <v>1621</v>
      </c>
      <c r="J193" s="102" t="s">
        <v>1622</v>
      </c>
      <c r="K193" s="102" t="s">
        <v>1623</v>
      </c>
      <c r="L193" s="10" t="str">
        <f t="shared" si="4"/>
        <v>Business Classification</v>
      </c>
    </row>
    <row r="194" spans="1:12">
      <c r="A194" s="14" t="s">
        <v>1615</v>
      </c>
      <c r="B194" s="13" t="s">
        <v>130</v>
      </c>
      <c r="C194" s="10" t="s">
        <v>1624</v>
      </c>
      <c r="D194" s="168" t="s">
        <v>132</v>
      </c>
      <c r="E194" s="102" t="s">
        <v>1624</v>
      </c>
      <c r="F194" s="101" t="s">
        <v>1624</v>
      </c>
      <c r="G194" s="101" t="s">
        <v>1624</v>
      </c>
      <c r="H194" s="101" t="s">
        <v>1624</v>
      </c>
      <c r="I194" s="102" t="s">
        <v>1624</v>
      </c>
      <c r="J194" s="102" t="s">
        <v>1624</v>
      </c>
      <c r="K194" s="102" t="s">
        <v>1624</v>
      </c>
      <c r="L194" s="10" t="str">
        <f t="shared" si="4"/>
        <v>8A - 8A</v>
      </c>
    </row>
    <row r="195" spans="1:12" ht="28.8">
      <c r="A195" s="14" t="s">
        <v>1615</v>
      </c>
      <c r="B195" s="13" t="s">
        <v>130</v>
      </c>
      <c r="C195" s="10" t="s">
        <v>1625</v>
      </c>
      <c r="D195" s="168" t="s">
        <v>132</v>
      </c>
      <c r="E195" s="146" t="s">
        <v>1626</v>
      </c>
      <c r="F195" s="101" t="s">
        <v>1627</v>
      </c>
      <c r="G195" s="101" t="s">
        <v>1628</v>
      </c>
      <c r="H195" s="101" t="s">
        <v>1629</v>
      </c>
      <c r="I195" s="101" t="s">
        <v>1630</v>
      </c>
      <c r="J195" s="101" t="s">
        <v>1631</v>
      </c>
      <c r="K195" s="101" t="s">
        <v>1632</v>
      </c>
      <c r="L195" s="10" t="str">
        <f t="shared" si="4"/>
        <v>Broad Based Black Economic Empowerment</v>
      </c>
    </row>
    <row r="196" spans="1:12">
      <c r="A196" s="14" t="s">
        <v>1615</v>
      </c>
      <c r="B196" s="13" t="s">
        <v>130</v>
      </c>
      <c r="C196" s="10" t="s">
        <v>1633</v>
      </c>
      <c r="D196" s="168" t="s">
        <v>132</v>
      </c>
      <c r="E196" s="102" t="s">
        <v>1634</v>
      </c>
      <c r="F196" s="101" t="s">
        <v>1635</v>
      </c>
      <c r="G196" s="101" t="s">
        <v>1636</v>
      </c>
      <c r="H196" s="101" t="s">
        <v>1637</v>
      </c>
      <c r="I196" s="101" t="s">
        <v>1638</v>
      </c>
      <c r="J196" s="101" t="s">
        <v>1639</v>
      </c>
      <c r="K196" s="101" t="s">
        <v>1640</v>
      </c>
      <c r="L196" s="10" t="str">
        <f t="shared" si="4"/>
        <v>HUB Zone</v>
      </c>
    </row>
    <row r="197" spans="1:12">
      <c r="A197" s="14" t="s">
        <v>1615</v>
      </c>
      <c r="B197" s="13" t="s">
        <v>130</v>
      </c>
      <c r="C197" s="10" t="s">
        <v>1641</v>
      </c>
      <c r="D197" s="168" t="s">
        <v>132</v>
      </c>
      <c r="E197" s="102" t="s">
        <v>1641</v>
      </c>
      <c r="F197" s="101" t="s">
        <v>1641</v>
      </c>
      <c r="G197" s="101" t="s">
        <v>1641</v>
      </c>
      <c r="H197" s="101" t="s">
        <v>1641</v>
      </c>
      <c r="I197" s="101" t="s">
        <v>1641</v>
      </c>
      <c r="J197" s="101" t="s">
        <v>1641</v>
      </c>
      <c r="K197" s="101" t="s">
        <v>1641</v>
      </c>
      <c r="L197" s="10" t="str">
        <f t="shared" si="4"/>
        <v>LGBT+ - LGBTBE</v>
      </c>
    </row>
    <row r="198" spans="1:12">
      <c r="A198" s="14" t="s">
        <v>1615</v>
      </c>
      <c r="B198" s="13" t="s">
        <v>130</v>
      </c>
      <c r="C198" s="10" t="s">
        <v>1642</v>
      </c>
      <c r="D198" s="168" t="s">
        <v>132</v>
      </c>
      <c r="E198" s="102" t="s">
        <v>1643</v>
      </c>
      <c r="F198" s="101" t="s">
        <v>1644</v>
      </c>
      <c r="G198" s="101" t="s">
        <v>1645</v>
      </c>
      <c r="H198" s="101" t="s">
        <v>1646</v>
      </c>
      <c r="I198" s="101" t="s">
        <v>1647</v>
      </c>
      <c r="J198" s="101" t="s">
        <v>1648</v>
      </c>
      <c r="K198" s="101" t="s">
        <v>1649</v>
      </c>
      <c r="L198" s="10" t="str">
        <f t="shared" si="4"/>
        <v>Micro Small Medium Enterprise</v>
      </c>
    </row>
    <row r="199" spans="1:12">
      <c r="A199" s="14" t="s">
        <v>1615</v>
      </c>
      <c r="B199" s="13" t="s">
        <v>130</v>
      </c>
      <c r="C199" s="10" t="s">
        <v>1650</v>
      </c>
      <c r="D199" s="168" t="s">
        <v>132</v>
      </c>
      <c r="E199" s="102" t="s">
        <v>1651</v>
      </c>
      <c r="F199" s="101" t="s">
        <v>1652</v>
      </c>
      <c r="G199" s="101" t="s">
        <v>1653</v>
      </c>
      <c r="H199" s="101" t="s">
        <v>1654</v>
      </c>
      <c r="I199" s="101" t="s">
        <v>1655</v>
      </c>
      <c r="J199" s="101" t="s">
        <v>1656</v>
      </c>
      <c r="K199" s="101" t="s">
        <v>1657</v>
      </c>
      <c r="L199" s="10" t="str">
        <f t="shared" si="4"/>
        <v>Minority Owned</v>
      </c>
    </row>
    <row r="200" spans="1:12" ht="28.8">
      <c r="A200" s="14" t="s">
        <v>1615</v>
      </c>
      <c r="B200" s="13" t="s">
        <v>130</v>
      </c>
      <c r="C200" s="10" t="s">
        <v>1658</v>
      </c>
      <c r="D200" s="168" t="s">
        <v>132</v>
      </c>
      <c r="E200" s="102" t="s">
        <v>1659</v>
      </c>
      <c r="F200" s="101" t="s">
        <v>1660</v>
      </c>
      <c r="G200" s="101" t="s">
        <v>1661</v>
      </c>
      <c r="H200" s="101" t="s">
        <v>1662</v>
      </c>
      <c r="I200" s="101" t="s">
        <v>1663</v>
      </c>
      <c r="J200" s="101" t="s">
        <v>1664</v>
      </c>
      <c r="K200" s="101" t="s">
        <v>1665</v>
      </c>
      <c r="L200" s="10" t="str">
        <f t="shared" si="4"/>
        <v>Service-Disabled Veteran Owned</v>
      </c>
    </row>
    <row r="201" spans="1:12">
      <c r="A201" s="14" t="s">
        <v>1615</v>
      </c>
      <c r="B201" s="13" t="s">
        <v>130</v>
      </c>
      <c r="C201" s="10" t="s">
        <v>1666</v>
      </c>
      <c r="D201" s="168" t="s">
        <v>132</v>
      </c>
      <c r="E201" s="102" t="s">
        <v>1667</v>
      </c>
      <c r="F201" s="101" t="s">
        <v>1668</v>
      </c>
      <c r="G201" s="101" t="s">
        <v>1669</v>
      </c>
      <c r="H201" s="101" t="s">
        <v>1670</v>
      </c>
      <c r="I201" s="101" t="s">
        <v>1671</v>
      </c>
      <c r="J201" s="101" t="s">
        <v>1672</v>
      </c>
      <c r="K201" s="101" t="s">
        <v>1673</v>
      </c>
      <c r="L201" s="10" t="str">
        <f t="shared" si="4"/>
        <v>Service-Disabled Veterans</v>
      </c>
    </row>
    <row r="202" spans="1:12">
      <c r="A202" s="14" t="s">
        <v>1615</v>
      </c>
      <c r="B202" s="13" t="s">
        <v>130</v>
      </c>
      <c r="C202" s="10" t="s">
        <v>1674</v>
      </c>
      <c r="D202" s="168" t="s">
        <v>132</v>
      </c>
      <c r="E202" s="102" t="s">
        <v>1675</v>
      </c>
      <c r="F202" s="101" t="s">
        <v>1676</v>
      </c>
      <c r="G202" s="101" t="s">
        <v>1645</v>
      </c>
      <c r="H202" s="101" t="s">
        <v>1677</v>
      </c>
      <c r="I202" s="101" t="s">
        <v>1678</v>
      </c>
      <c r="J202" s="101" t="s">
        <v>1679</v>
      </c>
      <c r="K202" s="101" t="s">
        <v>1680</v>
      </c>
      <c r="L202" s="10" t="str">
        <f t="shared" si="4"/>
        <v>Small Business</v>
      </c>
    </row>
    <row r="203" spans="1:12">
      <c r="A203" s="14" t="s">
        <v>1615</v>
      </c>
      <c r="B203" s="13" t="s">
        <v>130</v>
      </c>
      <c r="C203" s="10" t="s">
        <v>1681</v>
      </c>
      <c r="D203" s="168" t="s">
        <v>132</v>
      </c>
      <c r="E203" s="102" t="s">
        <v>1682</v>
      </c>
      <c r="F203" s="101" t="s">
        <v>1683</v>
      </c>
      <c r="G203" s="101" t="s">
        <v>1684</v>
      </c>
      <c r="H203" s="101" t="s">
        <v>1685</v>
      </c>
      <c r="I203" s="101" t="s">
        <v>1686</v>
      </c>
      <c r="J203" s="101" t="s">
        <v>1687</v>
      </c>
      <c r="K203" s="101" t="s">
        <v>1688</v>
      </c>
      <c r="L203" s="10" t="str">
        <f t="shared" si="4"/>
        <v>Veteran Owned</v>
      </c>
    </row>
    <row r="204" spans="1:12">
      <c r="A204" s="14" t="s">
        <v>1615</v>
      </c>
      <c r="B204" s="13" t="s">
        <v>130</v>
      </c>
      <c r="C204" s="10" t="s">
        <v>1689</v>
      </c>
      <c r="D204" s="168" t="s">
        <v>132</v>
      </c>
      <c r="E204" s="102" t="s">
        <v>1690</v>
      </c>
      <c r="F204" s="102" t="s">
        <v>1691</v>
      </c>
      <c r="G204" s="102" t="s">
        <v>1692</v>
      </c>
      <c r="H204" s="102" t="s">
        <v>1693</v>
      </c>
      <c r="I204" s="102" t="s">
        <v>1694</v>
      </c>
      <c r="J204" s="102" t="s">
        <v>1695</v>
      </c>
      <c r="K204" s="102" t="s">
        <v>1696</v>
      </c>
      <c r="L204" s="10" t="str">
        <f t="shared" si="4"/>
        <v>Woman Owned</v>
      </c>
    </row>
    <row r="205" spans="1:12">
      <c r="A205" s="14" t="s">
        <v>1697</v>
      </c>
      <c r="B205" s="13" t="s">
        <v>130</v>
      </c>
      <c r="C205" s="10" t="s">
        <v>1698</v>
      </c>
      <c r="D205" s="168" t="s">
        <v>132</v>
      </c>
      <c r="E205" s="101" t="s">
        <v>1699</v>
      </c>
      <c r="F205" s="99" t="s">
        <v>1700</v>
      </c>
      <c r="G205" s="99" t="s">
        <v>1701</v>
      </c>
      <c r="H205" s="101" t="s">
        <v>1702</v>
      </c>
      <c r="I205" s="101" t="s">
        <v>1703</v>
      </c>
      <c r="J205" s="101" t="s">
        <v>1704</v>
      </c>
      <c r="K205" s="101" t="s">
        <v>1705</v>
      </c>
      <c r="L205" s="10" t="str">
        <f t="shared" si="4"/>
        <v>Products and Services:</v>
      </c>
    </row>
    <row r="206" spans="1:12">
      <c r="A206" s="14" t="s">
        <v>1697</v>
      </c>
      <c r="B206" s="13" t="s">
        <v>130</v>
      </c>
      <c r="C206" s="10" t="s">
        <v>1706</v>
      </c>
      <c r="D206" s="168" t="s">
        <v>132</v>
      </c>
      <c r="E206" s="101" t="s">
        <v>1707</v>
      </c>
      <c r="F206" s="99" t="s">
        <v>1708</v>
      </c>
      <c r="G206" s="99" t="s">
        <v>1709</v>
      </c>
      <c r="H206" s="101" t="s">
        <v>1710</v>
      </c>
      <c r="I206" s="101" t="s">
        <v>1711</v>
      </c>
      <c r="J206" s="101" t="s">
        <v>1712</v>
      </c>
      <c r="K206" s="101" t="s">
        <v>1713</v>
      </c>
      <c r="L206" s="10" t="str">
        <f t="shared" si="4"/>
        <v>Cloud</v>
      </c>
    </row>
    <row r="207" spans="1:12">
      <c r="A207" s="14" t="s">
        <v>1697</v>
      </c>
      <c r="B207" s="13" t="s">
        <v>130</v>
      </c>
      <c r="C207" s="10" t="s">
        <v>1714</v>
      </c>
      <c r="D207" s="168" t="s">
        <v>132</v>
      </c>
      <c r="E207" s="101" t="s">
        <v>1715</v>
      </c>
      <c r="F207" s="99" t="s">
        <v>1716</v>
      </c>
      <c r="G207" s="99" t="s">
        <v>1717</v>
      </c>
      <c r="H207" s="101" t="s">
        <v>1718</v>
      </c>
      <c r="I207" s="101" t="s">
        <v>1719</v>
      </c>
      <c r="J207" s="101" t="s">
        <v>1720</v>
      </c>
      <c r="K207" s="101" t="s">
        <v>1721</v>
      </c>
      <c r="L207" s="10" t="str">
        <f t="shared" si="4"/>
        <v>Consulting</v>
      </c>
    </row>
    <row r="208" spans="1:12">
      <c r="A208" s="14" t="s">
        <v>1697</v>
      </c>
      <c r="B208" s="13" t="s">
        <v>130</v>
      </c>
      <c r="C208" s="10" t="s">
        <v>1722</v>
      </c>
      <c r="D208" s="168" t="s">
        <v>132</v>
      </c>
      <c r="E208" s="101" t="s">
        <v>1723</v>
      </c>
      <c r="F208" s="99" t="s">
        <v>1724</v>
      </c>
      <c r="G208" s="99" t="s">
        <v>1725</v>
      </c>
      <c r="H208" s="101" t="s">
        <v>1726</v>
      </c>
      <c r="I208" s="101" t="s">
        <v>1727</v>
      </c>
      <c r="J208" s="101" t="s">
        <v>1728</v>
      </c>
      <c r="K208" s="101" t="s">
        <v>1729</v>
      </c>
      <c r="L208" s="10" t="str">
        <f t="shared" si="4"/>
        <v>Content</v>
      </c>
    </row>
    <row r="209" spans="1:12">
      <c r="A209" s="14" t="s">
        <v>1697</v>
      </c>
      <c r="B209" s="13" t="s">
        <v>130</v>
      </c>
      <c r="C209" s="10" t="s">
        <v>1730</v>
      </c>
      <c r="D209" s="168" t="s">
        <v>132</v>
      </c>
      <c r="E209" s="101" t="s">
        <v>1731</v>
      </c>
      <c r="F209" s="99" t="s">
        <v>1732</v>
      </c>
      <c r="G209" s="99" t="s">
        <v>1733</v>
      </c>
      <c r="H209" s="101" t="s">
        <v>1734</v>
      </c>
      <c r="I209" s="101" t="s">
        <v>1735</v>
      </c>
      <c r="J209" s="101" t="s">
        <v>1736</v>
      </c>
      <c r="K209" s="101" t="s">
        <v>1737</v>
      </c>
      <c r="L209" s="10" t="str">
        <f t="shared" si="4"/>
        <v>Digital Marketing Software</v>
      </c>
    </row>
    <row r="210" spans="1:12">
      <c r="A210" s="14" t="s">
        <v>1697</v>
      </c>
      <c r="B210" s="13" t="s">
        <v>130</v>
      </c>
      <c r="C210" s="10" t="s">
        <v>1738</v>
      </c>
      <c r="D210" s="168" t="s">
        <v>132</v>
      </c>
      <c r="E210" s="101" t="s">
        <v>1739</v>
      </c>
      <c r="F210" s="99" t="s">
        <v>1740</v>
      </c>
      <c r="G210" s="99" t="s">
        <v>1741</v>
      </c>
      <c r="H210" s="101" t="s">
        <v>1742</v>
      </c>
      <c r="I210" s="101" t="s">
        <v>1738</v>
      </c>
      <c r="J210" s="101" t="s">
        <v>1743</v>
      </c>
      <c r="K210" s="101" t="s">
        <v>1744</v>
      </c>
      <c r="L210" s="10" t="str">
        <f t="shared" si="4"/>
        <v>Distribution</v>
      </c>
    </row>
    <row r="211" spans="1:12" ht="28.8">
      <c r="A211" s="14" t="s">
        <v>1697</v>
      </c>
      <c r="B211" s="13" t="s">
        <v>130</v>
      </c>
      <c r="C211" s="10" t="s">
        <v>1745</v>
      </c>
      <c r="D211" s="168" t="s">
        <v>132</v>
      </c>
      <c r="E211" s="101" t="s">
        <v>1746</v>
      </c>
      <c r="F211" s="99" t="s">
        <v>1747</v>
      </c>
      <c r="G211" s="99" t="s">
        <v>1748</v>
      </c>
      <c r="H211" s="101" t="s">
        <v>1749</v>
      </c>
      <c r="I211" s="101" t="s">
        <v>1750</v>
      </c>
      <c r="J211" s="101" t="s">
        <v>1751</v>
      </c>
      <c r="K211" s="101" t="s">
        <v>1752</v>
      </c>
      <c r="L211" s="10" t="str">
        <f t="shared" si="4"/>
        <v>Editorial, Production &amp; Operation Services</v>
      </c>
    </row>
    <row r="212" spans="1:12">
      <c r="A212" s="14" t="s">
        <v>1697</v>
      </c>
      <c r="B212" s="13" t="s">
        <v>130</v>
      </c>
      <c r="C212" s="10" t="s">
        <v>1753</v>
      </c>
      <c r="D212" s="168" t="s">
        <v>132</v>
      </c>
      <c r="E212" s="101" t="s">
        <v>1754</v>
      </c>
      <c r="F212" s="99" t="s">
        <v>1755</v>
      </c>
      <c r="G212" s="99" t="s">
        <v>1756</v>
      </c>
      <c r="H212" s="101" t="s">
        <v>1757</v>
      </c>
      <c r="I212" s="101" t="s">
        <v>1758</v>
      </c>
      <c r="J212" s="101" t="s">
        <v>1759</v>
      </c>
      <c r="K212" s="101" t="s">
        <v>1760</v>
      </c>
      <c r="L212" s="10" t="str">
        <f t="shared" si="4"/>
        <v>Facilities &amp; Property Services</v>
      </c>
    </row>
    <row r="213" spans="1:12">
      <c r="A213" s="14" t="s">
        <v>1697</v>
      </c>
      <c r="B213" s="13" t="s">
        <v>130</v>
      </c>
      <c r="C213" s="10" t="s">
        <v>1761</v>
      </c>
      <c r="D213" s="168" t="s">
        <v>132</v>
      </c>
      <c r="E213" s="101" t="s">
        <v>1762</v>
      </c>
      <c r="F213" s="99" t="s">
        <v>1763</v>
      </c>
      <c r="G213" s="99" t="s">
        <v>1764</v>
      </c>
      <c r="H213" s="101" t="s">
        <v>1765</v>
      </c>
      <c r="I213" s="101" t="s">
        <v>1766</v>
      </c>
      <c r="J213" s="101" t="s">
        <v>1767</v>
      </c>
      <c r="K213" s="101" t="s">
        <v>1768</v>
      </c>
      <c r="L213" s="10" t="str">
        <f t="shared" si="4"/>
        <v>HR Services</v>
      </c>
    </row>
    <row r="214" spans="1:12">
      <c r="A214" s="14" t="s">
        <v>1697</v>
      </c>
      <c r="B214" s="13" t="s">
        <v>130</v>
      </c>
      <c r="C214" s="10" t="s">
        <v>1769</v>
      </c>
      <c r="D214" s="168" t="s">
        <v>132</v>
      </c>
      <c r="E214" s="101" t="s">
        <v>1769</v>
      </c>
      <c r="F214" s="99" t="s">
        <v>1770</v>
      </c>
      <c r="G214" s="99" t="s">
        <v>1771</v>
      </c>
      <c r="H214" s="101" t="s">
        <v>1772</v>
      </c>
      <c r="I214" s="101" t="s">
        <v>1773</v>
      </c>
      <c r="J214" s="101" t="s">
        <v>1769</v>
      </c>
      <c r="K214" s="101" t="s">
        <v>1769</v>
      </c>
      <c r="L214" s="10" t="str">
        <f t="shared" si="4"/>
        <v>Marketing</v>
      </c>
    </row>
    <row r="215" spans="1:12">
      <c r="A215" s="14" t="s">
        <v>1697</v>
      </c>
      <c r="B215" s="13" t="s">
        <v>130</v>
      </c>
      <c r="C215" s="10" t="s">
        <v>1774</v>
      </c>
      <c r="D215" s="168" t="s">
        <v>132</v>
      </c>
      <c r="E215" s="101" t="s">
        <v>1775</v>
      </c>
      <c r="F215" s="99" t="s">
        <v>1776</v>
      </c>
      <c r="G215" s="99" t="s">
        <v>1777</v>
      </c>
      <c r="H215" s="101" t="s">
        <v>1778</v>
      </c>
      <c r="I215" s="101" t="s">
        <v>1774</v>
      </c>
      <c r="J215" s="101" t="s">
        <v>1779</v>
      </c>
      <c r="K215" s="101" t="s">
        <v>1774</v>
      </c>
      <c r="L215" s="10" t="str">
        <f t="shared" si="4"/>
        <v>Mobile</v>
      </c>
    </row>
    <row r="216" spans="1:12">
      <c r="A216" s="14" t="s">
        <v>1697</v>
      </c>
      <c r="B216" s="13" t="s">
        <v>130</v>
      </c>
      <c r="C216" s="10" t="s">
        <v>1780</v>
      </c>
      <c r="D216" s="168" t="s">
        <v>132</v>
      </c>
      <c r="E216" s="101" t="s">
        <v>1781</v>
      </c>
      <c r="F216" s="99" t="s">
        <v>1782</v>
      </c>
      <c r="G216" s="99" t="s">
        <v>1783</v>
      </c>
      <c r="H216" s="101" t="s">
        <v>1784</v>
      </c>
      <c r="I216" s="101" t="s">
        <v>1785</v>
      </c>
      <c r="J216" s="101" t="s">
        <v>1786</v>
      </c>
      <c r="K216" s="101" t="s">
        <v>1787</v>
      </c>
      <c r="L216" s="10" t="str">
        <f t="shared" si="4"/>
        <v>Printing &amp; Paper</v>
      </c>
    </row>
    <row r="217" spans="1:12">
      <c r="A217" s="14" t="s">
        <v>1697</v>
      </c>
      <c r="B217" s="13" t="s">
        <v>130</v>
      </c>
      <c r="C217" s="10" t="s">
        <v>1788</v>
      </c>
      <c r="D217" s="168" t="s">
        <v>132</v>
      </c>
      <c r="E217" s="101" t="s">
        <v>1789</v>
      </c>
      <c r="F217" s="99" t="s">
        <v>1790</v>
      </c>
      <c r="G217" s="99" t="s">
        <v>1791</v>
      </c>
      <c r="H217" s="101" t="s">
        <v>1792</v>
      </c>
      <c r="I217" s="101" t="s">
        <v>1793</v>
      </c>
      <c r="J217" s="101" t="s">
        <v>1794</v>
      </c>
      <c r="K217" s="101" t="s">
        <v>1795</v>
      </c>
      <c r="L217" s="10" t="str">
        <f t="shared" si="4"/>
        <v>Professional Services</v>
      </c>
    </row>
    <row r="218" spans="1:12">
      <c r="A218" s="14" t="s">
        <v>1697</v>
      </c>
      <c r="B218" s="13" t="s">
        <v>130</v>
      </c>
      <c r="C218" s="10" t="s">
        <v>1796</v>
      </c>
      <c r="D218" s="168" t="s">
        <v>132</v>
      </c>
      <c r="E218" s="101" t="s">
        <v>1797</v>
      </c>
      <c r="F218" s="99" t="s">
        <v>1798</v>
      </c>
      <c r="G218" s="99" t="s">
        <v>1799</v>
      </c>
      <c r="H218" s="101" t="s">
        <v>1800</v>
      </c>
      <c r="I218" s="101" t="s">
        <v>1801</v>
      </c>
      <c r="J218" s="101" t="s">
        <v>1796</v>
      </c>
      <c r="K218" s="101" t="s">
        <v>1796</v>
      </c>
      <c r="L218" s="10" t="str">
        <f t="shared" si="4"/>
        <v>Software</v>
      </c>
    </row>
    <row r="219" spans="1:12">
      <c r="A219" s="14" t="s">
        <v>1697</v>
      </c>
      <c r="B219" s="13" t="s">
        <v>130</v>
      </c>
      <c r="C219" s="10" t="s">
        <v>1802</v>
      </c>
      <c r="D219" s="168" t="s">
        <v>132</v>
      </c>
      <c r="E219" s="101" t="s">
        <v>1803</v>
      </c>
      <c r="F219" s="99" t="s">
        <v>1804</v>
      </c>
      <c r="G219" s="99" t="s">
        <v>1805</v>
      </c>
      <c r="H219" s="101" t="s">
        <v>1806</v>
      </c>
      <c r="I219" s="101" t="s">
        <v>1807</v>
      </c>
      <c r="J219" s="101" t="s">
        <v>1808</v>
      </c>
      <c r="K219" s="101" t="s">
        <v>1809</v>
      </c>
      <c r="L219" s="10" t="str">
        <f t="shared" si="4"/>
        <v>Technology Hardware</v>
      </c>
    </row>
    <row r="220" spans="1:12">
      <c r="A220" s="14" t="s">
        <v>1697</v>
      </c>
      <c r="B220" s="13" t="s">
        <v>130</v>
      </c>
      <c r="C220" s="10" t="s">
        <v>1810</v>
      </c>
      <c r="D220" s="168" t="s">
        <v>132</v>
      </c>
      <c r="E220" s="101" t="s">
        <v>1811</v>
      </c>
      <c r="F220" s="99" t="s">
        <v>1812</v>
      </c>
      <c r="G220" s="99" t="s">
        <v>1813</v>
      </c>
      <c r="H220" s="101" t="s">
        <v>1814</v>
      </c>
      <c r="I220" s="101" t="s">
        <v>1815</v>
      </c>
      <c r="J220" s="101" t="s">
        <v>1816</v>
      </c>
      <c r="K220" s="101" t="s">
        <v>1817</v>
      </c>
      <c r="L220" s="10" t="str">
        <f t="shared" si="4"/>
        <v>Technology ReSellers</v>
      </c>
    </row>
    <row r="221" spans="1:12">
      <c r="A221" s="14" t="s">
        <v>1697</v>
      </c>
      <c r="B221" s="13" t="s">
        <v>130</v>
      </c>
      <c r="C221" s="10" t="s">
        <v>1818</v>
      </c>
      <c r="D221" s="168" t="s">
        <v>132</v>
      </c>
      <c r="E221" s="101" t="s">
        <v>1819</v>
      </c>
      <c r="F221" s="99" t="s">
        <v>1820</v>
      </c>
      <c r="G221" s="99" t="s">
        <v>1821</v>
      </c>
      <c r="H221" s="101" t="s">
        <v>1822</v>
      </c>
      <c r="I221" s="101" t="s">
        <v>1823</v>
      </c>
      <c r="J221" s="101" t="s">
        <v>1824</v>
      </c>
      <c r="K221" s="101" t="s">
        <v>1825</v>
      </c>
      <c r="L221" s="10" t="str">
        <f t="shared" si="4"/>
        <v>Technology Services</v>
      </c>
    </row>
    <row r="222" spans="1:12">
      <c r="A222" s="14" t="s">
        <v>1697</v>
      </c>
      <c r="B222" s="13" t="s">
        <v>130</v>
      </c>
      <c r="C222" s="10" t="s">
        <v>1826</v>
      </c>
      <c r="D222" s="168" t="s">
        <v>132</v>
      </c>
      <c r="E222" s="101" t="s">
        <v>1827</v>
      </c>
      <c r="F222" s="99" t="s">
        <v>1828</v>
      </c>
      <c r="G222" s="99" t="s">
        <v>1829</v>
      </c>
      <c r="H222" s="101" t="s">
        <v>1830</v>
      </c>
      <c r="I222" s="101" t="s">
        <v>1831</v>
      </c>
      <c r="J222" s="101" t="s">
        <v>1832</v>
      </c>
      <c r="K222" s="101" t="s">
        <v>1833</v>
      </c>
      <c r="L222" s="10" t="str">
        <f t="shared" si="4"/>
        <v>Telecom &amp; Network</v>
      </c>
    </row>
    <row r="223" spans="1:12">
      <c r="A223" s="14" t="s">
        <v>1697</v>
      </c>
      <c r="B223" s="13" t="s">
        <v>130</v>
      </c>
      <c r="C223" s="10" t="s">
        <v>1834</v>
      </c>
      <c r="D223" s="168" t="s">
        <v>132</v>
      </c>
      <c r="E223" s="101" t="s">
        <v>1835</v>
      </c>
      <c r="F223" s="99" t="s">
        <v>1836</v>
      </c>
      <c r="G223" s="99" t="s">
        <v>1837</v>
      </c>
      <c r="H223" s="101" t="s">
        <v>1838</v>
      </c>
      <c r="I223" s="101" t="s">
        <v>1839</v>
      </c>
      <c r="J223" s="101" t="s">
        <v>1840</v>
      </c>
      <c r="K223" s="101" t="s">
        <v>1841</v>
      </c>
      <c r="L223" s="10" t="str">
        <f t="shared" si="4"/>
        <v>Travel, Meetings &amp; Exhibitions</v>
      </c>
    </row>
    <row r="224" spans="1:12">
      <c r="A224" s="14" t="s">
        <v>1697</v>
      </c>
      <c r="B224" s="13" t="s">
        <v>130</v>
      </c>
      <c r="C224" s="10" t="s">
        <v>1842</v>
      </c>
      <c r="D224" s="168" t="s">
        <v>132</v>
      </c>
      <c r="E224" s="101" t="s">
        <v>1843</v>
      </c>
      <c r="F224" s="99" t="s">
        <v>1844</v>
      </c>
      <c r="G224" s="99" t="s">
        <v>1845</v>
      </c>
      <c r="H224" s="101" t="s">
        <v>1846</v>
      </c>
      <c r="I224" s="101" t="s">
        <v>1847</v>
      </c>
      <c r="J224" s="101" t="s">
        <v>1848</v>
      </c>
      <c r="K224" s="101" t="s">
        <v>1768</v>
      </c>
      <c r="L224" s="10" t="str">
        <f t="shared" si="4"/>
        <v>Workforce Services</v>
      </c>
    </row>
    <row r="225" spans="1:12" ht="43.2">
      <c r="A225" s="14" t="s">
        <v>1697</v>
      </c>
      <c r="B225" s="13" t="s">
        <v>130</v>
      </c>
      <c r="C225" s="10" t="s">
        <v>1849</v>
      </c>
      <c r="D225" s="168" t="s">
        <v>132</v>
      </c>
      <c r="E225" s="101" t="s">
        <v>1850</v>
      </c>
      <c r="F225" s="101" t="s">
        <v>1851</v>
      </c>
      <c r="G225" s="101" t="s">
        <v>1852</v>
      </c>
      <c r="H225" s="101" t="s">
        <v>1853</v>
      </c>
      <c r="I225" s="101" t="s">
        <v>1854</v>
      </c>
      <c r="J225" s="101" t="s">
        <v>1855</v>
      </c>
      <c r="K225" s="101" t="s">
        <v>1856</v>
      </c>
      <c r="L225" s="10" t="str">
        <f t="shared" si="4"/>
        <v>Infrastructure and Platform services provided by Cloud Providers (IaaS, PaaS)</v>
      </c>
    </row>
    <row r="226" spans="1:12" ht="28.8">
      <c r="A226" s="14" t="s">
        <v>1697</v>
      </c>
      <c r="B226" s="13" t="s">
        <v>130</v>
      </c>
      <c r="C226" s="10" t="s">
        <v>1857</v>
      </c>
      <c r="D226" s="168" t="s">
        <v>132</v>
      </c>
      <c r="E226" s="101" t="s">
        <v>1858</v>
      </c>
      <c r="F226" s="101" t="s">
        <v>1859</v>
      </c>
      <c r="G226" s="101" t="s">
        <v>1860</v>
      </c>
      <c r="H226" s="101" t="s">
        <v>1861</v>
      </c>
      <c r="I226" s="101" t="s">
        <v>1862</v>
      </c>
      <c r="J226" s="101" t="s">
        <v>1863</v>
      </c>
      <c r="K226" s="101" t="s">
        <v>1864</v>
      </c>
      <c r="L226" s="10" t="str">
        <f t="shared" si="4"/>
        <v>Management consulting, advisory services</v>
      </c>
    </row>
    <row r="227" spans="1:12" ht="28.8">
      <c r="A227" s="14" t="s">
        <v>1697</v>
      </c>
      <c r="B227" s="13" t="s">
        <v>130</v>
      </c>
      <c r="C227" s="10" t="s">
        <v>1865</v>
      </c>
      <c r="D227" s="168" t="s">
        <v>132</v>
      </c>
      <c r="E227" s="101" t="s">
        <v>1866</v>
      </c>
      <c r="F227" s="101" t="s">
        <v>1867</v>
      </c>
      <c r="G227" s="101" t="s">
        <v>1868</v>
      </c>
      <c r="H227" s="101" t="s">
        <v>1869</v>
      </c>
      <c r="I227" s="101" t="s">
        <v>1870</v>
      </c>
      <c r="J227" s="101" t="s">
        <v>1871</v>
      </c>
      <c r="K227" s="101" t="s">
        <v>1872</v>
      </c>
      <c r="L227" s="10" t="str">
        <f t="shared" si="4"/>
        <v>Acquisition, purchasing, or licensing of data or content</v>
      </c>
    </row>
    <row r="228" spans="1:12" ht="28.8">
      <c r="A228" s="14" t="s">
        <v>1697</v>
      </c>
      <c r="B228" s="13" t="s">
        <v>130</v>
      </c>
      <c r="C228" s="10" t="s">
        <v>1873</v>
      </c>
      <c r="D228" s="168" t="s">
        <v>132</v>
      </c>
      <c r="E228" s="101" t="s">
        <v>1874</v>
      </c>
      <c r="F228" s="101" t="s">
        <v>1875</v>
      </c>
      <c r="G228" s="101" t="s">
        <v>1876</v>
      </c>
      <c r="H228" s="101" t="s">
        <v>1877</v>
      </c>
      <c r="I228" s="101" t="s">
        <v>1878</v>
      </c>
      <c r="J228" s="101" t="s">
        <v>1879</v>
      </c>
      <c r="K228" s="101" t="s">
        <v>1880</v>
      </c>
      <c r="L228" s="10" t="str">
        <f t="shared" si="4"/>
        <v>Software that is primarily used for Marketing Services</v>
      </c>
    </row>
    <row r="229" spans="1:12" ht="28.8">
      <c r="A229" s="14" t="s">
        <v>1697</v>
      </c>
      <c r="B229" s="13" t="s">
        <v>130</v>
      </c>
      <c r="C229" s="10" t="s">
        <v>1881</v>
      </c>
      <c r="D229" s="168" t="s">
        <v>132</v>
      </c>
      <c r="E229" s="101" t="s">
        <v>1882</v>
      </c>
      <c r="F229" s="101" t="s">
        <v>1883</v>
      </c>
      <c r="G229" s="101" t="s">
        <v>1884</v>
      </c>
      <c r="H229" s="101" t="s">
        <v>1885</v>
      </c>
      <c r="I229" s="101" t="s">
        <v>1886</v>
      </c>
      <c r="J229" s="101" t="s">
        <v>1887</v>
      </c>
      <c r="K229" s="101" t="s">
        <v>1888</v>
      </c>
      <c r="L229" s="10" t="str">
        <f t="shared" si="4"/>
        <v>Courier, postage, shipping, freight, logistics, fulfillment and warehousing</v>
      </c>
    </row>
    <row r="230" spans="1:12" ht="72">
      <c r="A230" s="14" t="s">
        <v>1697</v>
      </c>
      <c r="B230" s="13" t="s">
        <v>130</v>
      </c>
      <c r="C230" s="10" t="s">
        <v>1889</v>
      </c>
      <c r="D230" s="168" t="s">
        <v>132</v>
      </c>
      <c r="E230" s="101" t="s">
        <v>1890</v>
      </c>
      <c r="F230" s="101" t="s">
        <v>1891</v>
      </c>
      <c r="G230" s="101" t="s">
        <v>1892</v>
      </c>
      <c r="H230" s="101" t="s">
        <v>1893</v>
      </c>
      <c r="I230" s="101" t="s">
        <v>1894</v>
      </c>
      <c r="J230" s="101" t="s">
        <v>1895</v>
      </c>
      <c r="K230" s="101" t="s">
        <v>1896</v>
      </c>
      <c r="L230" s="10" t="str">
        <f t="shared" si="4"/>
        <v>Data or content transformation, excerption, web scraping, conversion, typesetting, copy-editing, proof-reading, and customer services</v>
      </c>
    </row>
    <row r="231" spans="1:12" ht="28.8">
      <c r="A231" s="14" t="s">
        <v>1697</v>
      </c>
      <c r="B231" s="13" t="s">
        <v>130</v>
      </c>
      <c r="C231" s="10" t="s">
        <v>1897</v>
      </c>
      <c r="D231" s="168" t="s">
        <v>132</v>
      </c>
      <c r="E231" s="101" t="s">
        <v>1898</v>
      </c>
      <c r="F231" s="101" t="s">
        <v>1899</v>
      </c>
      <c r="G231" s="101" t="s">
        <v>1900</v>
      </c>
      <c r="H231" s="101" t="s">
        <v>1901</v>
      </c>
      <c r="I231" s="101" t="s">
        <v>1902</v>
      </c>
      <c r="J231" s="101" t="s">
        <v>1903</v>
      </c>
      <c r="K231" s="101" t="s">
        <v>1904</v>
      </c>
      <c r="L231" s="10" t="str">
        <f t="shared" si="4"/>
        <v>Office Refurbishment, Cleaning, Facilities Mgmt.</v>
      </c>
    </row>
    <row r="232" spans="1:12" ht="28.8">
      <c r="A232" s="14" t="s">
        <v>1697</v>
      </c>
      <c r="B232" s="13" t="s">
        <v>130</v>
      </c>
      <c r="C232" s="10" t="s">
        <v>1905</v>
      </c>
      <c r="D232" s="168" t="s">
        <v>132</v>
      </c>
      <c r="E232" s="101" t="s">
        <v>1906</v>
      </c>
      <c r="F232" s="101" t="s">
        <v>1907</v>
      </c>
      <c r="G232" s="101" t="s">
        <v>1908</v>
      </c>
      <c r="H232" s="101" t="s">
        <v>1909</v>
      </c>
      <c r="I232" s="101" t="s">
        <v>1910</v>
      </c>
      <c r="J232" s="101" t="s">
        <v>1911</v>
      </c>
      <c r="K232" s="101" t="s">
        <v>1912</v>
      </c>
      <c r="L232" s="10" t="str">
        <f t="shared" si="4"/>
        <v>Employee Benefits/Programs, Training</v>
      </c>
    </row>
    <row r="233" spans="1:12" ht="57.6">
      <c r="A233" s="14" t="s">
        <v>1697</v>
      </c>
      <c r="B233" s="13" t="s">
        <v>130</v>
      </c>
      <c r="C233" s="10" t="s">
        <v>1913</v>
      </c>
      <c r="D233" s="168" t="s">
        <v>132</v>
      </c>
      <c r="E233" s="101" t="s">
        <v>1914</v>
      </c>
      <c r="F233" s="101" t="s">
        <v>1915</v>
      </c>
      <c r="G233" s="101" t="s">
        <v>1916</v>
      </c>
      <c r="H233" s="101" t="s">
        <v>1917</v>
      </c>
      <c r="I233" s="101" t="s">
        <v>1918</v>
      </c>
      <c r="J233" s="101" t="s">
        <v>1919</v>
      </c>
      <c r="K233" s="101" t="s">
        <v>1920</v>
      </c>
      <c r="L233" s="10" t="str">
        <f t="shared" si="4"/>
        <v>Advertising, Agencies/Design, Copyright/Translation, Market Research, Promo Materials, PR, Telemarketing</v>
      </c>
    </row>
    <row r="234" spans="1:12">
      <c r="A234" s="14" t="s">
        <v>1697</v>
      </c>
      <c r="B234" s="13" t="s">
        <v>130</v>
      </c>
      <c r="C234" s="10" t="s">
        <v>1921</v>
      </c>
      <c r="D234" s="168" t="s">
        <v>132</v>
      </c>
      <c r="E234" s="101" t="s">
        <v>1922</v>
      </c>
      <c r="F234" s="101" t="s">
        <v>1923</v>
      </c>
      <c r="G234" s="101" t="s">
        <v>1924</v>
      </c>
      <c r="H234" s="101" t="s">
        <v>1925</v>
      </c>
      <c r="I234" s="101" t="s">
        <v>1926</v>
      </c>
      <c r="J234" s="101" t="s">
        <v>1927</v>
      </c>
      <c r="K234" s="101" t="s">
        <v>1928</v>
      </c>
      <c r="L234" s="10" t="str">
        <f t="shared" ref="L234:L258" si="5">IF($E$1=$C$2,C234,IF($E$1=$E$2,CONCATENATE(E234,B234,C234,D234),IF($E$1=$F$2,CONCATENATE(F234,B234,C234,D234),IF($E$1=$G$2,CONCATENATE(G234,B234,C234,D234),IF($E$1=$H$2,CONCATENATE(H234,B234,C234,D234),IF($E$1=$I$2,CONCATENATE(I234,B234,C234,D234),IF($E$1=$J$2,CONCATENATE(J234,B234,C234,D234),IF($E$1=$K$2,CONCATENATE(K234,B234,C234,D234),C234))))))))</f>
        <v>Smartphones / mobile devices</v>
      </c>
    </row>
    <row r="235" spans="1:12" ht="28.8">
      <c r="A235" s="14" t="s">
        <v>1697</v>
      </c>
      <c r="B235" s="13" t="s">
        <v>130</v>
      </c>
      <c r="C235" s="10" t="s">
        <v>1929</v>
      </c>
      <c r="D235" s="168" t="s">
        <v>132</v>
      </c>
      <c r="E235" s="101" t="s">
        <v>1930</v>
      </c>
      <c r="F235" s="101" t="s">
        <v>1931</v>
      </c>
      <c r="G235" s="101" t="s">
        <v>1932</v>
      </c>
      <c r="H235" s="101" t="s">
        <v>1933</v>
      </c>
      <c r="I235" s="101" t="s">
        <v>1934</v>
      </c>
      <c r="J235" s="101" t="s">
        <v>1935</v>
      </c>
      <c r="K235" s="101" t="s">
        <v>1936</v>
      </c>
      <c r="L235" s="10" t="str">
        <f t="shared" si="5"/>
        <v>Manufacturing of printed products and paper purchasing</v>
      </c>
    </row>
    <row r="236" spans="1:12">
      <c r="A236" s="14" t="s">
        <v>1697</v>
      </c>
      <c r="B236" s="13" t="s">
        <v>130</v>
      </c>
      <c r="C236" s="10" t="s">
        <v>1937</v>
      </c>
      <c r="D236" s="168" t="s">
        <v>132</v>
      </c>
      <c r="E236" s="101" t="s">
        <v>1938</v>
      </c>
      <c r="F236" s="101" t="s">
        <v>1939</v>
      </c>
      <c r="G236" s="101" t="s">
        <v>1940</v>
      </c>
      <c r="H236" s="101" t="s">
        <v>1941</v>
      </c>
      <c r="I236" s="101" t="s">
        <v>1942</v>
      </c>
      <c r="J236" s="101" t="s">
        <v>1943</v>
      </c>
      <c r="K236" s="101" t="s">
        <v>1944</v>
      </c>
      <c r="L236" s="10" t="str">
        <f t="shared" si="5"/>
        <v>Legal Services, Financial Services</v>
      </c>
    </row>
    <row r="237" spans="1:12" ht="43.2">
      <c r="A237" s="14" t="s">
        <v>1697</v>
      </c>
      <c r="B237" s="13" t="s">
        <v>130</v>
      </c>
      <c r="C237" s="10" t="s">
        <v>1945</v>
      </c>
      <c r="D237" s="168" t="s">
        <v>132</v>
      </c>
      <c r="E237" s="101" t="s">
        <v>1946</v>
      </c>
      <c r="F237" s="101" t="s">
        <v>1947</v>
      </c>
      <c r="G237" s="101" t="s">
        <v>1948</v>
      </c>
      <c r="H237" s="101" t="s">
        <v>1949</v>
      </c>
      <c r="I237" s="101" t="s">
        <v>1950</v>
      </c>
      <c r="J237" s="101" t="s">
        <v>1951</v>
      </c>
      <c r="K237" s="101" t="s">
        <v>1952</v>
      </c>
      <c r="L237" s="10" t="str">
        <f t="shared" si="5"/>
        <v>Software as a Services, Desktop Software, Server Software</v>
      </c>
    </row>
    <row r="238" spans="1:12" ht="28.8">
      <c r="A238" s="14" t="s">
        <v>1697</v>
      </c>
      <c r="B238" s="13" t="s">
        <v>130</v>
      </c>
      <c r="C238" s="10" t="s">
        <v>1953</v>
      </c>
      <c r="D238" s="168" t="s">
        <v>132</v>
      </c>
      <c r="E238" s="101" t="s">
        <v>1954</v>
      </c>
      <c r="F238" s="101" t="s">
        <v>1955</v>
      </c>
      <c r="G238" s="101" t="s">
        <v>1956</v>
      </c>
      <c r="H238" s="101" t="s">
        <v>1957</v>
      </c>
      <c r="I238" s="101" t="s">
        <v>1958</v>
      </c>
      <c r="J238" s="101" t="s">
        <v>1959</v>
      </c>
      <c r="K238" s="101" t="s">
        <v>1960</v>
      </c>
      <c r="L238" s="10" t="str">
        <f t="shared" si="5"/>
        <v>Computers, Servers, Printers, Monitors, Peripherals</v>
      </c>
    </row>
    <row r="239" spans="1:12" ht="28.8">
      <c r="A239" s="14" t="s">
        <v>1697</v>
      </c>
      <c r="B239" s="13" t="s">
        <v>130</v>
      </c>
      <c r="C239" s="10" t="s">
        <v>1961</v>
      </c>
      <c r="D239" s="168" t="s">
        <v>132</v>
      </c>
      <c r="E239" s="101" t="s">
        <v>1962</v>
      </c>
      <c r="F239" s="101" t="s">
        <v>1963</v>
      </c>
      <c r="G239" s="101" t="s">
        <v>1964</v>
      </c>
      <c r="H239" s="101" t="s">
        <v>1965</v>
      </c>
      <c r="I239" s="101" t="s">
        <v>1966</v>
      </c>
      <c r="J239" s="101" t="s">
        <v>1967</v>
      </c>
      <c r="K239" s="101" t="s">
        <v>1968</v>
      </c>
      <c r="L239" s="10" t="str">
        <f t="shared" si="5"/>
        <v>Technology purchased through Third Party Suppliers</v>
      </c>
    </row>
    <row r="240" spans="1:12" ht="28.8">
      <c r="A240" s="14" t="s">
        <v>1697</v>
      </c>
      <c r="B240" s="13" t="s">
        <v>130</v>
      </c>
      <c r="C240" s="10" t="s">
        <v>1969</v>
      </c>
      <c r="D240" s="168" t="s">
        <v>132</v>
      </c>
      <c r="E240" s="101" t="s">
        <v>1970</v>
      </c>
      <c r="F240" s="101" t="s">
        <v>1971</v>
      </c>
      <c r="G240" s="101" t="s">
        <v>1972</v>
      </c>
      <c r="H240" s="101" t="s">
        <v>1973</v>
      </c>
      <c r="I240" s="101" t="s">
        <v>1974</v>
      </c>
      <c r="J240" s="101" t="s">
        <v>1975</v>
      </c>
      <c r="K240" s="101" t="s">
        <v>1976</v>
      </c>
      <c r="L240" s="10" t="str">
        <f t="shared" si="5"/>
        <v>Contractors and Consultants providing technology-related labor-based services</v>
      </c>
    </row>
    <row r="241" spans="1:12" ht="28.8">
      <c r="A241" s="14" t="s">
        <v>1697</v>
      </c>
      <c r="B241" s="13" t="s">
        <v>130</v>
      </c>
      <c r="C241" s="10" t="s">
        <v>1977</v>
      </c>
      <c r="D241" s="168" t="s">
        <v>132</v>
      </c>
      <c r="E241" s="101" t="s">
        <v>1978</v>
      </c>
      <c r="F241" s="101" t="s">
        <v>1979</v>
      </c>
      <c r="G241" s="101" t="s">
        <v>1980</v>
      </c>
      <c r="H241" s="101" t="s">
        <v>1981</v>
      </c>
      <c r="I241" s="101" t="s">
        <v>1982</v>
      </c>
      <c r="J241" s="101" t="s">
        <v>1983</v>
      </c>
      <c r="K241" s="101" t="s">
        <v>1984</v>
      </c>
      <c r="L241" s="10" t="str">
        <f t="shared" si="5"/>
        <v>Telephony and network related products and services</v>
      </c>
    </row>
    <row r="242" spans="1:12">
      <c r="A242" s="14" t="s">
        <v>1697</v>
      </c>
      <c r="B242" s="13" t="s">
        <v>130</v>
      </c>
      <c r="C242" s="10" t="s">
        <v>1985</v>
      </c>
      <c r="D242" s="168" t="s">
        <v>132</v>
      </c>
      <c r="E242" s="101" t="s">
        <v>1986</v>
      </c>
      <c r="F242" s="101" t="s">
        <v>1987</v>
      </c>
      <c r="G242" s="101" t="s">
        <v>1988</v>
      </c>
      <c r="H242" s="101" t="s">
        <v>1989</v>
      </c>
      <c r="I242" s="101" t="s">
        <v>1990</v>
      </c>
      <c r="J242" s="101" t="s">
        <v>1991</v>
      </c>
      <c r="K242" s="101" t="s">
        <v>1992</v>
      </c>
      <c r="L242" s="10" t="str">
        <f t="shared" si="5"/>
        <v>Travel-related services</v>
      </c>
    </row>
    <row r="243" spans="1:12" ht="28.8">
      <c r="A243" s="14" t="s">
        <v>1697</v>
      </c>
      <c r="B243" s="13" t="s">
        <v>130</v>
      </c>
      <c r="C243" s="10" t="s">
        <v>1993</v>
      </c>
      <c r="D243" s="168" t="s">
        <v>132</v>
      </c>
      <c r="E243" s="101" t="s">
        <v>1994</v>
      </c>
      <c r="F243" s="101" t="s">
        <v>1995</v>
      </c>
      <c r="G243" s="101" t="s">
        <v>1996</v>
      </c>
      <c r="H243" s="101" t="s">
        <v>1997</v>
      </c>
      <c r="I243" s="101" t="s">
        <v>1998</v>
      </c>
      <c r="J243" s="101" t="s">
        <v>1999</v>
      </c>
      <c r="K243" s="101" t="s">
        <v>2000</v>
      </c>
      <c r="L243" s="10" t="str">
        <f t="shared" si="5"/>
        <v>Temp/contingent worker and permanent recruitment</v>
      </c>
    </row>
    <row r="244" spans="1:12">
      <c r="A244" s="254" t="s">
        <v>1112</v>
      </c>
      <c r="B244" s="13" t="s">
        <v>130</v>
      </c>
      <c r="C244" s="256" t="s">
        <v>2001</v>
      </c>
      <c r="D244" s="168" t="s">
        <v>132</v>
      </c>
      <c r="E244" s="102" t="s">
        <v>2002</v>
      </c>
      <c r="F244" s="102" t="s">
        <v>2003</v>
      </c>
      <c r="G244" s="102" t="s">
        <v>2004</v>
      </c>
      <c r="H244" s="102" t="s">
        <v>2005</v>
      </c>
      <c r="I244" s="102" t="s">
        <v>2006</v>
      </c>
      <c r="J244" s="102" t="s">
        <v>2007</v>
      </c>
      <c r="K244" s="102" t="s">
        <v>2008</v>
      </c>
      <c r="L244" s="10" t="str">
        <f t="shared" si="5"/>
        <v>Conference / Exhibits</v>
      </c>
    </row>
    <row r="245" spans="1:12">
      <c r="A245" s="254" t="s">
        <v>1112</v>
      </c>
      <c r="B245" s="13" t="s">
        <v>130</v>
      </c>
      <c r="C245" s="256" t="s">
        <v>2009</v>
      </c>
      <c r="D245" s="168" t="s">
        <v>132</v>
      </c>
      <c r="E245" s="102" t="s">
        <v>2010</v>
      </c>
      <c r="F245" s="102" t="s">
        <v>2011</v>
      </c>
      <c r="G245" s="102" t="s">
        <v>2012</v>
      </c>
      <c r="H245" s="102" t="s">
        <v>2013</v>
      </c>
      <c r="I245" s="102" t="s">
        <v>2014</v>
      </c>
      <c r="J245" s="102" t="s">
        <v>2015</v>
      </c>
      <c r="K245" s="102" t="s">
        <v>2016</v>
      </c>
      <c r="L245" s="10" t="str">
        <f t="shared" si="5"/>
        <v>Donations / Sponsorship</v>
      </c>
    </row>
    <row r="246" spans="1:12">
      <c r="A246" s="254" t="s">
        <v>1112</v>
      </c>
      <c r="B246" s="13" t="s">
        <v>130</v>
      </c>
      <c r="C246" s="256" t="s">
        <v>2017</v>
      </c>
      <c r="D246" s="168" t="s">
        <v>132</v>
      </c>
      <c r="E246" s="102" t="s">
        <v>2018</v>
      </c>
      <c r="F246" s="102" t="s">
        <v>2019</v>
      </c>
      <c r="G246" s="102" t="s">
        <v>2020</v>
      </c>
      <c r="H246" s="102" t="s">
        <v>2021</v>
      </c>
      <c r="I246" s="102" t="s">
        <v>2022</v>
      </c>
      <c r="J246" s="102" t="s">
        <v>2023</v>
      </c>
      <c r="K246" s="102" t="s">
        <v>2024</v>
      </c>
      <c r="L246" s="10" t="str">
        <f t="shared" si="5"/>
        <v>Government / Tax</v>
      </c>
    </row>
    <row r="247" spans="1:12">
      <c r="A247" s="254" t="s">
        <v>1112</v>
      </c>
      <c r="B247" s="13" t="s">
        <v>130</v>
      </c>
      <c r="C247" s="256" t="s">
        <v>2025</v>
      </c>
      <c r="D247" s="168" t="s">
        <v>132</v>
      </c>
      <c r="E247" s="102" t="s">
        <v>2026</v>
      </c>
      <c r="F247" s="102" t="s">
        <v>2027</v>
      </c>
      <c r="G247" s="102" t="s">
        <v>2028</v>
      </c>
      <c r="H247" s="102" t="s">
        <v>2029</v>
      </c>
      <c r="I247" s="102" t="s">
        <v>2030</v>
      </c>
      <c r="J247" s="102" t="s">
        <v>2031</v>
      </c>
      <c r="K247" s="102" t="s">
        <v>2032</v>
      </c>
      <c r="L247" s="10" t="str">
        <f t="shared" si="5"/>
        <v>Intercompany</v>
      </c>
    </row>
    <row r="248" spans="1:12">
      <c r="A248" s="254" t="s">
        <v>1112</v>
      </c>
      <c r="B248" s="13" t="s">
        <v>130</v>
      </c>
      <c r="C248" s="256" t="s">
        <v>2033</v>
      </c>
      <c r="D248" s="168" t="s">
        <v>132</v>
      </c>
      <c r="E248" s="102" t="s">
        <v>2034</v>
      </c>
      <c r="F248" s="102" t="s">
        <v>2035</v>
      </c>
      <c r="G248" s="102" t="s">
        <v>2036</v>
      </c>
      <c r="H248" s="102" t="s">
        <v>2037</v>
      </c>
      <c r="I248" s="102" t="s">
        <v>2038</v>
      </c>
      <c r="J248" s="102" t="s">
        <v>2039</v>
      </c>
      <c r="K248" s="102" t="s">
        <v>2040</v>
      </c>
      <c r="L248" s="10" t="str">
        <f t="shared" si="5"/>
        <v>Properties</v>
      </c>
    </row>
    <row r="249" spans="1:12">
      <c r="A249" s="254" t="s">
        <v>1112</v>
      </c>
      <c r="B249" s="13" t="s">
        <v>130</v>
      </c>
      <c r="C249" s="256" t="s">
        <v>2041</v>
      </c>
      <c r="D249" s="168" t="s">
        <v>132</v>
      </c>
      <c r="E249" s="102" t="s">
        <v>2042</v>
      </c>
      <c r="F249" s="102" t="s">
        <v>2043</v>
      </c>
      <c r="G249" s="102" t="s">
        <v>2044</v>
      </c>
      <c r="H249" s="102" t="s">
        <v>2045</v>
      </c>
      <c r="I249" s="102" t="s">
        <v>2046</v>
      </c>
      <c r="J249" s="102" t="s">
        <v>2047</v>
      </c>
      <c r="K249" s="102" t="s">
        <v>2048</v>
      </c>
      <c r="L249" s="10" t="str">
        <f t="shared" si="5"/>
        <v>Banking &amp; Finance</v>
      </c>
    </row>
    <row r="250" spans="1:12">
      <c r="A250" s="254" t="s">
        <v>1112</v>
      </c>
      <c r="B250" s="13" t="s">
        <v>130</v>
      </c>
      <c r="C250" s="256" t="s">
        <v>2049</v>
      </c>
      <c r="D250" s="168" t="s">
        <v>132</v>
      </c>
      <c r="E250" s="102" t="s">
        <v>2050</v>
      </c>
      <c r="F250" s="102" t="s">
        <v>2051</v>
      </c>
      <c r="G250" s="102" t="s">
        <v>2052</v>
      </c>
      <c r="H250" s="102" t="s">
        <v>2053</v>
      </c>
      <c r="I250" s="102" t="s">
        <v>2054</v>
      </c>
      <c r="J250" s="102" t="s">
        <v>2055</v>
      </c>
      <c r="K250" s="102" t="s">
        <v>2056</v>
      </c>
      <c r="L250" s="10" t="str">
        <f t="shared" si="5"/>
        <v>Societies</v>
      </c>
    </row>
    <row r="251" spans="1:12">
      <c r="A251" s="254" t="s">
        <v>1112</v>
      </c>
      <c r="B251" s="13" t="s">
        <v>130</v>
      </c>
      <c r="C251" s="256" t="s">
        <v>2057</v>
      </c>
      <c r="D251" s="168" t="s">
        <v>132</v>
      </c>
      <c r="E251" s="102" t="s">
        <v>2058</v>
      </c>
      <c r="F251" s="102" t="s">
        <v>2059</v>
      </c>
      <c r="G251" s="102" t="s">
        <v>2060</v>
      </c>
      <c r="H251" s="102" t="s">
        <v>2061</v>
      </c>
      <c r="I251" s="102" t="s">
        <v>2062</v>
      </c>
      <c r="J251" s="102" t="s">
        <v>2063</v>
      </c>
      <c r="K251" s="102" t="s">
        <v>2062</v>
      </c>
      <c r="L251" s="10" t="str">
        <f t="shared" si="5"/>
        <v>Subscription</v>
      </c>
    </row>
    <row r="252" spans="1:12">
      <c r="A252" s="14" t="s">
        <v>2064</v>
      </c>
      <c r="B252" s="13" t="s">
        <v>130</v>
      </c>
      <c r="C252" s="10" t="s">
        <v>2065</v>
      </c>
      <c r="D252" s="168" t="s">
        <v>132</v>
      </c>
      <c r="K252" s="102" t="s">
        <v>2066</v>
      </c>
      <c r="L252" s="10" t="str">
        <f t="shared" si="5"/>
        <v>UST Number</v>
      </c>
    </row>
    <row r="253" spans="1:12" ht="41.4">
      <c r="A253" s="14" t="s">
        <v>2067</v>
      </c>
      <c r="B253" s="13" t="s">
        <v>130</v>
      </c>
      <c r="C253" s="10" t="s">
        <v>2068</v>
      </c>
      <c r="D253" s="116" t="s">
        <v>132</v>
      </c>
      <c r="K253" s="97" t="s">
        <v>376</v>
      </c>
      <c r="L253" s="10" t="str">
        <f t="shared" si="5"/>
        <v>Is there a signed agreement in place stating the Supplier payment terms? (Not applicable to Authors)</v>
      </c>
    </row>
    <row r="254" spans="1:12" ht="41.4">
      <c r="A254" s="14" t="s">
        <v>2069</v>
      </c>
      <c r="B254" s="13" t="s">
        <v>130</v>
      </c>
      <c r="C254" s="10" t="s">
        <v>2068</v>
      </c>
      <c r="D254" s="116" t="s">
        <v>132</v>
      </c>
      <c r="K254" s="97" t="s">
        <v>376</v>
      </c>
      <c r="L254" s="10" t="str">
        <f t="shared" si="5"/>
        <v>Is there a signed agreement in place stating the Supplier payment terms? (Not applicable to Authors)</v>
      </c>
    </row>
    <row r="255" spans="1:12" ht="20.399999999999999">
      <c r="A255" s="86" t="s">
        <v>2070</v>
      </c>
      <c r="B255" s="12" t="s">
        <v>130</v>
      </c>
      <c r="C255" s="10" t="s">
        <v>2071</v>
      </c>
      <c r="D255" s="109" t="s">
        <v>132</v>
      </c>
      <c r="L255" s="10" t="str">
        <f t="shared" si="5"/>
        <v>If address change only, skip to row 85.</v>
      </c>
    </row>
    <row r="256" spans="1:12" ht="27.6">
      <c r="A256" s="86" t="s">
        <v>2072</v>
      </c>
      <c r="B256" s="12" t="s">
        <v>130</v>
      </c>
      <c r="C256" s="10" t="s">
        <v>2073</v>
      </c>
      <c r="D256" s="109" t="s">
        <v>132</v>
      </c>
      <c r="E256" s="97" t="s">
        <v>388</v>
      </c>
      <c r="F256" s="98" t="s">
        <v>389</v>
      </c>
      <c r="G256" s="98" t="s">
        <v>390</v>
      </c>
      <c r="H256" s="101" t="s">
        <v>391</v>
      </c>
      <c r="I256" s="97" t="s">
        <v>392</v>
      </c>
      <c r="J256" s="97" t="s">
        <v>393</v>
      </c>
      <c r="K256" s="97" t="s">
        <v>394</v>
      </c>
      <c r="L256" s="10" t="str">
        <f t="shared" si="5"/>
        <v>RELX standard payment terms are NET 30 Days.</v>
      </c>
    </row>
    <row r="257" spans="1:12" ht="20.399999999999999">
      <c r="A257" s="86" t="s">
        <v>2074</v>
      </c>
      <c r="B257" s="13" t="s">
        <v>130</v>
      </c>
      <c r="C257" s="10" t="s">
        <v>2075</v>
      </c>
      <c r="D257" s="168" t="s">
        <v>132</v>
      </c>
      <c r="E257" s="102" t="s">
        <v>1503</v>
      </c>
      <c r="F257" s="102" t="s">
        <v>1504</v>
      </c>
      <c r="G257" s="102" t="s">
        <v>1505</v>
      </c>
      <c r="H257" s="102" t="s">
        <v>1506</v>
      </c>
      <c r="I257" s="102" t="s">
        <v>1507</v>
      </c>
      <c r="J257" s="102" t="s">
        <v>1508</v>
      </c>
      <c r="K257" s="102" t="s">
        <v>1509</v>
      </c>
      <c r="L257" s="10" t="str">
        <f t="shared" si="5"/>
        <v>Estimated annual spend with supplier (ZAR):</v>
      </c>
    </row>
    <row r="258" spans="1:12">
      <c r="A258" s="86" t="s">
        <v>2076</v>
      </c>
      <c r="B258" s="13" t="s">
        <v>130</v>
      </c>
      <c r="C258" s="10" t="s">
        <v>2077</v>
      </c>
      <c r="D258" s="168" t="s">
        <v>132</v>
      </c>
      <c r="E258" t="s">
        <v>2078</v>
      </c>
      <c r="F258" t="s">
        <v>879</v>
      </c>
      <c r="G258" t="s">
        <v>2079</v>
      </c>
      <c r="H258" t="s">
        <v>2080</v>
      </c>
      <c r="I258" t="s">
        <v>2081</v>
      </c>
      <c r="J258" t="s">
        <v>2082</v>
      </c>
      <c r="K258" t="s">
        <v>2083</v>
      </c>
      <c r="L258" s="10" t="str">
        <f t="shared" si="5"/>
        <v>Email Address</v>
      </c>
    </row>
  </sheetData>
  <sheetProtection algorithmName="SHA-512" hashValue="1RZC+pdOGVvhQmoTS2R16PJDiIaGC+DG7/2ykVlWwPpVIdJh3Goq3qLtR/B/LjaTNELiJ2NVeqmKkodSXMi/xQ==" saltValue="28iZ6YGF5aInO05IYRILhQ==" spinCount="100000" sheet="1" objects="1" scenarios="1"/>
  <mergeCells count="1">
    <mergeCell ref="A1:C1"/>
  </mergeCells>
  <phoneticPr fontId="18" type="noConversion"/>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ED1AF5-E681-4296-A24D-7C58C5DE8968}">
  <sheetPr codeName="Sheet12"/>
  <dimension ref="A1:S128"/>
  <sheetViews>
    <sheetView showGridLines="0" zoomScaleNormal="100" workbookViewId="0">
      <selection sqref="A1:L1"/>
    </sheetView>
  </sheetViews>
  <sheetFormatPr baseColWidth="10" defaultColWidth="9.109375" defaultRowHeight="14.4"/>
  <cols>
    <col min="1" max="1" width="2.88671875" style="2" customWidth="1"/>
    <col min="2" max="3" width="9.88671875" style="1" customWidth="1"/>
    <col min="4" max="4" width="10.109375" style="1" customWidth="1"/>
    <col min="5" max="5" width="9.88671875" style="1" customWidth="1"/>
    <col min="6" max="6" width="10.109375" style="1" customWidth="1"/>
    <col min="7" max="7" width="2.88671875" style="1" customWidth="1"/>
    <col min="8" max="8" width="8.88671875" style="1" customWidth="1"/>
    <col min="9" max="9" width="10.88671875" style="1" customWidth="1"/>
    <col min="10" max="10" width="10.44140625" style="1" customWidth="1"/>
    <col min="11" max="11" width="12.88671875" style="1" customWidth="1"/>
    <col min="12" max="12" width="1.88671875" style="1" customWidth="1"/>
    <col min="13" max="13" width="4.88671875" style="1" hidden="1" customWidth="1"/>
    <col min="14" max="16384" width="9.109375" style="1"/>
  </cols>
  <sheetData>
    <row r="1" spans="1:14" ht="69.75" customHeight="1">
      <c r="A1" s="506"/>
      <c r="B1" s="507"/>
      <c r="C1" s="507"/>
      <c r="D1" s="507"/>
      <c r="E1" s="507"/>
      <c r="F1" s="507"/>
      <c r="G1" s="507"/>
      <c r="H1" s="507"/>
      <c r="I1" s="507"/>
      <c r="J1" s="507"/>
      <c r="K1" s="507"/>
      <c r="L1" s="508"/>
      <c r="M1" s="1" t="s">
        <v>0</v>
      </c>
    </row>
    <row r="2" spans="1:14" ht="30.75" customHeight="1">
      <c r="A2" s="509" t="str">
        <f>'Languages France'!L10</f>
        <v>FORMULAIRE D'INSCRIPTION GLOBAL COMPTES PAYABLES</v>
      </c>
      <c r="B2" s="510"/>
      <c r="C2" s="510"/>
      <c r="D2" s="510"/>
      <c r="E2" s="510"/>
      <c r="F2" s="510"/>
      <c r="G2" s="510"/>
      <c r="H2" s="510"/>
      <c r="I2" s="510"/>
      <c r="J2" s="510"/>
      <c r="K2" s="510"/>
      <c r="L2" s="511"/>
      <c r="M2" s="1" t="s">
        <v>0</v>
      </c>
    </row>
    <row r="3" spans="1:14" ht="17.100000000000001" customHeight="1" thickBot="1">
      <c r="A3" s="518" t="s">
        <v>2084</v>
      </c>
      <c r="B3" s="519"/>
      <c r="C3" s="519"/>
      <c r="D3" s="519"/>
      <c r="E3" s="519"/>
      <c r="F3" s="519"/>
      <c r="G3" s="519"/>
      <c r="H3" s="519"/>
      <c r="I3" s="519"/>
      <c r="J3" s="519"/>
      <c r="K3" s="519"/>
      <c r="L3" s="165"/>
      <c r="M3" s="1" t="s">
        <v>0</v>
      </c>
    </row>
    <row r="4" spans="1:14" ht="18.600000000000001" thickBot="1">
      <c r="A4" s="120"/>
      <c r="B4" s="504" t="str">
        <f>'Languages France'!L3</f>
        <v>Language (Langue)</v>
      </c>
      <c r="C4" s="504"/>
      <c r="D4" s="505"/>
      <c r="E4" s="332" t="s">
        <v>125</v>
      </c>
      <c r="F4" s="333"/>
      <c r="G4" s="333"/>
      <c r="H4" s="333"/>
      <c r="I4" s="333"/>
      <c r="J4" s="333"/>
      <c r="K4" s="333"/>
      <c r="L4" s="164"/>
      <c r="M4" s="1" t="s">
        <v>0</v>
      </c>
    </row>
    <row r="5" spans="1:14" s="2" customFormat="1" ht="48" customHeight="1" thickBot="1">
      <c r="A5" s="84" t="s">
        <v>3</v>
      </c>
      <c r="B5" s="375" t="str">
        <f>'Languages France'!L11</f>
        <v>Aucune facture ou paiement de redevance ne sera payé avant la réception des formulaires remplis et le rappel de validation.</v>
      </c>
      <c r="C5" s="375"/>
      <c r="D5" s="375"/>
      <c r="E5" s="375"/>
      <c r="F5" s="375"/>
      <c r="G5" s="375"/>
      <c r="H5" s="375"/>
      <c r="I5" s="375"/>
      <c r="J5" s="375"/>
      <c r="K5" s="375"/>
      <c r="L5" s="95"/>
      <c r="M5" s="2" t="s">
        <v>0</v>
      </c>
    </row>
    <row r="6" spans="1:14" s="2" customFormat="1" ht="35.1" customHeight="1" thickBot="1">
      <c r="A6" s="388" t="str">
        <f>'Languages France'!L12</f>
        <v>Pour usage interne de LN Legal &amp; Professional et RELX</v>
      </c>
      <c r="B6" s="389"/>
      <c r="C6" s="389"/>
      <c r="D6" s="389"/>
      <c r="E6" s="389"/>
      <c r="F6" s="389"/>
      <c r="G6" s="389"/>
      <c r="H6" s="389"/>
      <c r="I6" s="389"/>
      <c r="J6" s="389"/>
      <c r="K6" s="389"/>
      <c r="L6" s="390"/>
      <c r="M6" s="2" t="s">
        <v>0</v>
      </c>
    </row>
    <row r="7" spans="1:14" s="2" customFormat="1" ht="45.75" customHeight="1" thickBot="1">
      <c r="A7" s="161"/>
      <c r="B7" s="378" t="str">
        <f>'Languages France'!L6</f>
        <v>Veuillez remplir TOUS les champs obligatoires de cette section et transmettre à votre contact fournisseur pour qu'il soit complété.</v>
      </c>
      <c r="C7" s="378"/>
      <c r="D7" s="378"/>
      <c r="E7" s="378"/>
      <c r="F7" s="378"/>
      <c r="G7" s="378"/>
      <c r="H7" s="378"/>
      <c r="I7" s="162" t="s">
        <v>4</v>
      </c>
      <c r="J7" s="379" t="str">
        <f>'Languages France'!L9</f>
        <v>Champs obligatoires</v>
      </c>
      <c r="K7" s="379"/>
      <c r="L7" s="163"/>
      <c r="M7" s="2" t="s">
        <v>0</v>
      </c>
    </row>
    <row r="8" spans="1:14" s="2" customFormat="1" ht="25.5" customHeight="1">
      <c r="A8" s="120" t="s">
        <v>0</v>
      </c>
      <c r="B8" s="514" t="str">
        <f>'Languages France'!L13</f>
        <v>Date de la demande</v>
      </c>
      <c r="C8" s="515"/>
      <c r="D8" s="515"/>
      <c r="E8" s="380"/>
      <c r="F8" s="381"/>
      <c r="G8" s="381"/>
      <c r="H8" s="381"/>
      <c r="I8" s="381"/>
      <c r="J8" s="381"/>
      <c r="K8" s="381"/>
      <c r="L8" s="382"/>
      <c r="M8" s="2" t="str">
        <f>A8</f>
        <v>*</v>
      </c>
    </row>
    <row r="9" spans="1:14" s="2" customFormat="1" ht="27.6" customHeight="1">
      <c r="A9" s="49" t="s">
        <v>0</v>
      </c>
      <c r="B9" s="281" t="str">
        <f>'Languages France'!L14</f>
        <v>Motif de la demande</v>
      </c>
      <c r="C9" s="281"/>
      <c r="D9" s="282"/>
      <c r="E9" s="376" t="s">
        <v>966</v>
      </c>
      <c r="F9" s="377"/>
      <c r="G9" s="377"/>
      <c r="H9" s="377"/>
      <c r="I9" s="377"/>
      <c r="J9" s="377"/>
      <c r="K9" s="377"/>
      <c r="L9" s="45"/>
      <c r="M9" s="2" t="str">
        <f>A9</f>
        <v>*</v>
      </c>
    </row>
    <row r="10" spans="1:14" s="2" customFormat="1" ht="36.9" customHeight="1">
      <c r="A10" s="393" t="str">
        <f>IF(B10&gt;"","*","")</f>
        <v/>
      </c>
      <c r="B10" s="353" t="str">
        <f>IF(OR(E9='Languages France'!L111,E9='Languages France'!L112),'Languages France'!L15,"")</f>
        <v/>
      </c>
      <c r="C10" s="354"/>
      <c r="D10" s="354"/>
      <c r="E10" s="331" t="str">
        <f>IF(B10&gt;" ",'Languages France'!L16,"")</f>
        <v/>
      </c>
      <c r="F10" s="331"/>
      <c r="G10" s="331"/>
      <c r="H10" s="331"/>
      <c r="I10" s="385" t="str">
        <f>IF(B10&gt;" ",'Languages France'!L17,"")</f>
        <v/>
      </c>
      <c r="J10" s="386"/>
      <c r="K10" s="386"/>
      <c r="L10" s="387"/>
      <c r="M10" s="2" t="str">
        <f>A10</f>
        <v/>
      </c>
    </row>
    <row r="11" spans="1:14" s="2" customFormat="1" ht="52.5" customHeight="1">
      <c r="A11" s="393"/>
      <c r="B11" s="516" t="str">
        <f>IF(B10&gt;" ",'Languages France'!L18,"")</f>
        <v/>
      </c>
      <c r="C11" s="517"/>
      <c r="D11" s="517"/>
      <c r="E11" s="352"/>
      <c r="F11" s="352"/>
      <c r="G11" s="352"/>
      <c r="H11" s="352"/>
      <c r="I11" s="355"/>
      <c r="J11" s="356"/>
      <c r="K11" s="356"/>
      <c r="L11" s="357"/>
      <c r="M11" s="2" t="str">
        <f>A10</f>
        <v/>
      </c>
      <c r="N11" s="137"/>
    </row>
    <row r="12" spans="1:14" s="2" customFormat="1" ht="28.5" customHeight="1">
      <c r="A12" s="49" t="str">
        <f>IF(B12&gt;"","*","")</f>
        <v/>
      </c>
      <c r="B12" s="353" t="str">
        <f>IF(E9='Languages France'!L111,'Languages France'!L19,"")</f>
        <v/>
      </c>
      <c r="C12" s="354"/>
      <c r="D12" s="354"/>
      <c r="E12" s="361" t="s">
        <v>966</v>
      </c>
      <c r="F12" s="362"/>
      <c r="G12" s="362"/>
      <c r="H12" s="362"/>
      <c r="I12" s="362"/>
      <c r="J12" s="362"/>
      <c r="K12" s="362"/>
      <c r="L12" s="44"/>
      <c r="M12" s="2" t="str">
        <f>A10</f>
        <v/>
      </c>
      <c r="N12" s="137"/>
    </row>
    <row r="13" spans="1:14" s="2" customFormat="1" ht="28.5" customHeight="1">
      <c r="A13" s="49" t="str">
        <f>IF(B13&gt;"","*","")</f>
        <v/>
      </c>
      <c r="B13" s="353" t="str">
        <f>IF(E12='Languages France'!L113,'Languages France'!L20,"")</f>
        <v/>
      </c>
      <c r="C13" s="354"/>
      <c r="D13" s="354"/>
      <c r="E13" s="358"/>
      <c r="F13" s="359"/>
      <c r="G13" s="359"/>
      <c r="H13" s="359"/>
      <c r="I13" s="359"/>
      <c r="J13" s="359"/>
      <c r="K13" s="359"/>
      <c r="L13" s="360"/>
      <c r="N13" s="137"/>
    </row>
    <row r="14" spans="1:14" s="2" customFormat="1" ht="28.5" customHeight="1">
      <c r="A14" s="49" t="s">
        <v>0</v>
      </c>
      <c r="B14" s="281" t="str">
        <f>'Languages France'!L27</f>
        <v>Entité</v>
      </c>
      <c r="C14" s="281"/>
      <c r="D14" s="282"/>
      <c r="E14" s="376" t="s">
        <v>2085</v>
      </c>
      <c r="F14" s="377"/>
      <c r="G14" s="377"/>
      <c r="H14" s="377"/>
      <c r="I14" s="377"/>
      <c r="J14" s="377"/>
      <c r="K14" s="377"/>
      <c r="L14" s="45"/>
      <c r="M14" s="2" t="str">
        <f>A14</f>
        <v>*</v>
      </c>
    </row>
    <row r="15" spans="1:14" s="2" customFormat="1" ht="27" customHeight="1">
      <c r="A15" s="122" t="s">
        <v>0</v>
      </c>
      <c r="B15" s="367" t="str">
        <f>'Languages France'!L28</f>
        <v>Pays de l’entité</v>
      </c>
      <c r="C15" s="367"/>
      <c r="D15" s="368"/>
      <c r="E15" s="365" t="s">
        <v>2</v>
      </c>
      <c r="F15" s="365"/>
      <c r="G15" s="365"/>
      <c r="H15" s="365"/>
      <c r="I15" s="365"/>
      <c r="J15" s="365"/>
      <c r="K15" s="366"/>
      <c r="L15" s="45"/>
      <c r="M15" s="2" t="str">
        <f>A15</f>
        <v>*</v>
      </c>
    </row>
    <row r="16" spans="1:14" s="2" customFormat="1" ht="27" customHeight="1">
      <c r="A16" s="122" t="s">
        <v>0</v>
      </c>
      <c r="B16" s="279" t="str">
        <f>'Languages France'!L213</f>
        <v>BU Achats</v>
      </c>
      <c r="C16" s="279"/>
      <c r="D16" s="280"/>
      <c r="E16" s="363" t="s">
        <v>966</v>
      </c>
      <c r="F16" s="364"/>
      <c r="G16" s="364"/>
      <c r="H16" s="364"/>
      <c r="I16" s="364"/>
      <c r="J16" s="364"/>
      <c r="K16" s="364"/>
      <c r="L16" s="45"/>
      <c r="M16" s="2" t="str">
        <f>A16</f>
        <v>*</v>
      </c>
    </row>
    <row r="17" spans="1:13" s="2" customFormat="1" ht="30" customHeight="1">
      <c r="A17" s="49" t="s">
        <v>0</v>
      </c>
      <c r="B17" s="279" t="str">
        <f>'Languages France'!L21</f>
        <v>Type de fournisseur</v>
      </c>
      <c r="C17" s="280"/>
      <c r="D17" s="369" t="s">
        <v>966</v>
      </c>
      <c r="E17" s="370"/>
      <c r="F17" s="370"/>
      <c r="G17" s="370"/>
      <c r="H17" s="370"/>
      <c r="I17" s="370"/>
      <c r="J17" s="370"/>
      <c r="K17" s="370"/>
      <c r="L17" s="44"/>
      <c r="M17" s="2" t="str">
        <f t="shared" ref="M17:M19" si="0">A17</f>
        <v>*</v>
      </c>
    </row>
    <row r="18" spans="1:13" s="2" customFormat="1" ht="30" customHeight="1">
      <c r="A18" s="49" t="s">
        <v>0</v>
      </c>
      <c r="B18" s="282" t="str">
        <f>'Languages France'!L25</f>
        <v>Nom du demandeur</v>
      </c>
      <c r="C18" s="307"/>
      <c r="D18" s="307"/>
      <c r="E18" s="285"/>
      <c r="F18" s="286"/>
      <c r="G18" s="286"/>
      <c r="H18" s="286"/>
      <c r="I18" s="286"/>
      <c r="J18" s="286"/>
      <c r="K18" s="286"/>
      <c r="L18" s="305"/>
      <c r="M18" s="2" t="str">
        <f t="shared" si="0"/>
        <v>*</v>
      </c>
    </row>
    <row r="19" spans="1:13" s="2" customFormat="1" ht="30" customHeight="1">
      <c r="A19" s="49" t="s">
        <v>0</v>
      </c>
      <c r="B19" s="282" t="str">
        <f>'Languages France'!L26</f>
        <v>Adresse e-mail du demandeur</v>
      </c>
      <c r="C19" s="307"/>
      <c r="D19" s="307"/>
      <c r="E19" s="285"/>
      <c r="F19" s="286"/>
      <c r="G19" s="286"/>
      <c r="H19" s="286"/>
      <c r="I19" s="286"/>
      <c r="J19" s="286"/>
      <c r="K19" s="286"/>
      <c r="L19" s="305"/>
      <c r="M19" s="2" t="str">
        <f t="shared" si="0"/>
        <v>*</v>
      </c>
    </row>
    <row r="20" spans="1:13" s="2" customFormat="1" ht="45.75" customHeight="1">
      <c r="A20" s="122" t="s">
        <v>0</v>
      </c>
      <c r="B20" s="488" t="str">
        <f>'Languages France'!L29</f>
        <v>Méthode de paiement</v>
      </c>
      <c r="C20" s="488"/>
      <c r="D20" s="353"/>
      <c r="E20" s="495" t="str">
        <f>'Languages France'!L30</f>
        <v>La méthode de paiement standard RELX est électronique. Pour toute exception, envoyez un e-mail à AP.FRvendormaintenance@lexisnexis.fr pour une pré-approbation.</v>
      </c>
      <c r="F20" s="496"/>
      <c r="G20" s="496"/>
      <c r="H20" s="496"/>
      <c r="I20" s="496"/>
      <c r="J20" s="496"/>
      <c r="K20" s="496"/>
      <c r="L20" s="45"/>
      <c r="M20" s="2" t="str">
        <f>A20</f>
        <v>*</v>
      </c>
    </row>
    <row r="21" spans="1:13" s="2" customFormat="1" ht="30" customHeight="1">
      <c r="A21" s="122" t="str">
        <f>IF(B21&gt;"","*","")</f>
        <v>*</v>
      </c>
      <c r="B21" s="280" t="str">
        <f>IF(OR(suppaytype='Languages France'!L130,suppaytype='Languages France'!L126),"",'Languages France'!L31)</f>
        <v>Existe-t-il un accord signé indiquant les conditions de paiement du fournisseur ?</v>
      </c>
      <c r="C21" s="446"/>
      <c r="D21" s="446"/>
      <c r="E21" s="446"/>
      <c r="F21" s="446"/>
      <c r="G21" s="446"/>
      <c r="H21" s="446"/>
      <c r="I21" s="446"/>
      <c r="J21" s="479" t="s">
        <v>1294</v>
      </c>
      <c r="K21" s="297"/>
      <c r="L21" s="167"/>
      <c r="M21" s="2" t="str">
        <f>A21</f>
        <v>*</v>
      </c>
    </row>
    <row r="22" spans="1:13" s="2" customFormat="1" ht="30" customHeight="1">
      <c r="A22" s="122" t="str">
        <f>IF(B22&gt;"","*","")</f>
        <v>*</v>
      </c>
      <c r="B22" s="488" t="str">
        <f>IF(Conditions!AL1&gt;0,"",'Languages France'!L32)</f>
        <v>Modalités de paiement</v>
      </c>
      <c r="C22" s="488"/>
      <c r="D22" s="353"/>
      <c r="E22" s="495" t="str">
        <f>'Languages France'!L33</f>
        <v>Les conditions de paiement standard RELX sont de 30 jours NET.</v>
      </c>
      <c r="F22" s="496"/>
      <c r="G22" s="496"/>
      <c r="H22" s="496"/>
      <c r="I22" s="496"/>
      <c r="J22" s="496"/>
      <c r="K22" s="496"/>
      <c r="L22" s="45"/>
      <c r="M22" s="2" t="str">
        <f>A22</f>
        <v>*</v>
      </c>
    </row>
    <row r="23" spans="1:13" s="2" customFormat="1" ht="45" customHeight="1">
      <c r="A23" s="122" t="str">
        <f>IF(B23&gt;"","*","")</f>
        <v/>
      </c>
      <c r="B23" s="491" t="str">
        <f>IF(J21='Drop Down Lists'!A7,'Languages France'!L34,"")</f>
        <v/>
      </c>
      <c r="C23" s="492"/>
      <c r="D23" s="492"/>
      <c r="E23" s="492"/>
      <c r="F23" s="492"/>
      <c r="G23" s="492"/>
      <c r="H23" s="492"/>
      <c r="I23" s="492"/>
      <c r="J23" s="493"/>
      <c r="K23" s="494"/>
      <c r="L23" s="45"/>
      <c r="M23" s="2" t="str">
        <f>A23</f>
        <v/>
      </c>
    </row>
    <row r="24" spans="1:13" s="2" customFormat="1" ht="39" customHeight="1">
      <c r="A24" s="49" t="str">
        <f>IF(B24&gt;"","*","")</f>
        <v/>
      </c>
      <c r="B24" s="282" t="str">
        <f>IF(AND(E9='Languages France'!L110,suppaytype&lt;&gt;'Languages France'!L126),'Languages France'!L35,"")</f>
        <v/>
      </c>
      <c r="C24" s="307"/>
      <c r="D24" s="307"/>
      <c r="E24" s="321"/>
      <c r="F24" s="322"/>
      <c r="G24" s="322"/>
      <c r="H24" s="322"/>
      <c r="I24" s="322"/>
      <c r="J24" s="322"/>
      <c r="K24" s="322"/>
      <c r="L24" s="323"/>
      <c r="M24" s="2" t="str">
        <f t="shared" ref="M24:M40" si="1">A24</f>
        <v/>
      </c>
    </row>
    <row r="25" spans="1:13" s="2" customFormat="1" ht="39" customHeight="1">
      <c r="A25" s="122" t="s">
        <v>0</v>
      </c>
      <c r="B25" s="279" t="str">
        <f>'Languages France'!L208</f>
        <v>Dépenses annuelles estimées auprès du fournisseur (USD) :</v>
      </c>
      <c r="C25" s="279"/>
      <c r="D25" s="279"/>
      <c r="E25" s="279"/>
      <c r="F25" s="279"/>
      <c r="G25" s="280"/>
      <c r="H25" s="479" t="s">
        <v>966</v>
      </c>
      <c r="I25" s="297"/>
      <c r="J25" s="297"/>
      <c r="K25" s="297"/>
      <c r="L25" s="166"/>
      <c r="M25" s="2" t="str">
        <f>A25</f>
        <v>*</v>
      </c>
    </row>
    <row r="26" spans="1:13" s="2" customFormat="1" ht="39" customHeight="1">
      <c r="A26" s="122" t="s">
        <v>0</v>
      </c>
      <c r="B26" s="279" t="str">
        <f>'Languages France'!L209</f>
        <v>Pensez-vous que ce fournisseur est ou deviendra bientôt l'un des 1 % des fournisseurs critiques du point de vue de la résilience commerciale pour votre secteur d'activité RELX (RELX Corp, Elsevier, LNLP, Risk ou RX) ?</v>
      </c>
      <c r="C26" s="279"/>
      <c r="D26" s="279"/>
      <c r="E26" s="279"/>
      <c r="F26" s="279"/>
      <c r="G26" s="279"/>
      <c r="H26" s="279"/>
      <c r="I26" s="280"/>
      <c r="J26" s="479" t="s">
        <v>1294</v>
      </c>
      <c r="K26" s="297"/>
      <c r="L26" s="166"/>
      <c r="M26" s="2" t="str">
        <f t="shared" ref="M26:M28" si="2">A26</f>
        <v>*</v>
      </c>
    </row>
    <row r="27" spans="1:13" s="2" customFormat="1" ht="39" customHeight="1">
      <c r="A27" s="122" t="s">
        <v>0</v>
      </c>
      <c r="B27" s="279" t="str">
        <f>'Languages France'!L210</f>
        <v>La durée initiale du contrat avec le fournisseur sera-t-elle d’un an ou moins ?</v>
      </c>
      <c r="C27" s="279"/>
      <c r="D27" s="279"/>
      <c r="E27" s="279"/>
      <c r="F27" s="279"/>
      <c r="G27" s="279"/>
      <c r="H27" s="279"/>
      <c r="I27" s="280"/>
      <c r="J27" s="479" t="s">
        <v>1294</v>
      </c>
      <c r="K27" s="297"/>
      <c r="L27" s="166"/>
      <c r="M27" s="2" t="str">
        <f t="shared" si="2"/>
        <v>*</v>
      </c>
    </row>
    <row r="28" spans="1:13" s="2" customFormat="1" ht="39" customHeight="1">
      <c r="A28" s="122" t="s">
        <v>0</v>
      </c>
      <c r="B28" s="279" t="str">
        <f>'Languages France'!L211</f>
        <v>Un contrat est-il enregistré auprès de ce fournisseur ?</v>
      </c>
      <c r="C28" s="279"/>
      <c r="D28" s="279"/>
      <c r="E28" s="279"/>
      <c r="F28" s="279"/>
      <c r="G28" s="279"/>
      <c r="H28" s="279"/>
      <c r="I28" s="280"/>
      <c r="J28" s="479" t="s">
        <v>966</v>
      </c>
      <c r="K28" s="297"/>
      <c r="L28" s="166"/>
      <c r="M28" s="2" t="str">
        <f t="shared" si="2"/>
        <v>*</v>
      </c>
    </row>
    <row r="29" spans="1:13" s="2" customFormat="1" ht="30" customHeight="1">
      <c r="A29" s="49" t="str">
        <f>IF(B29&gt;"","*","")</f>
        <v>*</v>
      </c>
      <c r="B29" s="281" t="str">
        <f>IF(Conditions!AI13=0,'Languages France'!L36,"")</f>
        <v>Un contrat d'approvisionnement est-il en place ? (Non applicable aux auteurs)</v>
      </c>
      <c r="C29" s="281"/>
      <c r="D29" s="281"/>
      <c r="E29" s="281"/>
      <c r="F29" s="281"/>
      <c r="G29" s="281"/>
      <c r="H29" s="281"/>
      <c r="I29" s="282"/>
      <c r="J29" s="479" t="s">
        <v>966</v>
      </c>
      <c r="K29" s="297"/>
      <c r="L29" s="45"/>
      <c r="M29" s="2" t="str">
        <f t="shared" si="1"/>
        <v>*</v>
      </c>
    </row>
    <row r="30" spans="1:13" s="2" customFormat="1" ht="32.25" customHeight="1">
      <c r="A30" s="49" t="str">
        <f>IF(J29='Languages France'!L108,"*","")</f>
        <v/>
      </c>
      <c r="B30" s="500" t="str">
        <f>'Languages France'!L37</f>
        <v>Si un contrat d'approvisionnement est en place, veuillez vous assurer qu'une copie est envoyée à contracts@relx.com</v>
      </c>
      <c r="C30" s="500"/>
      <c r="D30" s="500"/>
      <c r="E30" s="500"/>
      <c r="F30" s="500"/>
      <c r="G30" s="500"/>
      <c r="H30" s="500"/>
      <c r="I30" s="500"/>
      <c r="J30" s="500"/>
      <c r="K30" s="500"/>
      <c r="L30" s="45"/>
      <c r="M30" s="2" t="str">
        <f t="shared" si="1"/>
        <v/>
      </c>
    </row>
    <row r="31" spans="1:13" s="2" customFormat="1" ht="57" customHeight="1">
      <c r="A31" s="49" t="str">
        <f>IF(B31&gt;"","*","")</f>
        <v/>
      </c>
      <c r="B31" s="448" t="str">
        <f>IF(AND(Conditions!AI13&lt;1,J29='Drop Down Lists'!A7),'Languages France'!L38,"")</f>
        <v/>
      </c>
      <c r="C31" s="448"/>
      <c r="D31" s="448"/>
      <c r="E31" s="448"/>
      <c r="F31" s="448"/>
      <c r="G31" s="448"/>
      <c r="H31" s="448"/>
      <c r="I31" s="473" t="s">
        <v>1294</v>
      </c>
      <c r="J31" s="474"/>
      <c r="K31" s="474"/>
      <c r="L31" s="45"/>
      <c r="M31" s="2" t="str">
        <f t="shared" si="1"/>
        <v/>
      </c>
    </row>
    <row r="32" spans="1:13" s="2" customFormat="1" ht="30" customHeight="1">
      <c r="A32" s="49" t="s">
        <v>0</v>
      </c>
      <c r="B32" s="280" t="str">
        <f>'Languages France'!L201</f>
        <v>Montant HT de l’achat</v>
      </c>
      <c r="C32" s="446"/>
      <c r="D32" s="446"/>
      <c r="E32" s="446"/>
      <c r="F32" s="446"/>
      <c r="G32" s="446"/>
      <c r="H32" s="446"/>
      <c r="I32" s="551"/>
      <c r="J32" s="551"/>
      <c r="K32" s="473"/>
      <c r="L32" s="166"/>
      <c r="M32" s="2" t="str">
        <f t="shared" si="1"/>
        <v>*</v>
      </c>
    </row>
    <row r="33" spans="1:13" s="2" customFormat="1" ht="30" customHeight="1">
      <c r="A33" s="49" t="s">
        <v>0</v>
      </c>
      <c r="B33" s="280" t="str">
        <f>'Languages France'!L202</f>
        <v>Montant HT prévu annuallement</v>
      </c>
      <c r="C33" s="446"/>
      <c r="D33" s="446"/>
      <c r="E33" s="446"/>
      <c r="F33" s="446"/>
      <c r="G33" s="446"/>
      <c r="H33" s="446"/>
      <c r="I33" s="551"/>
      <c r="J33" s="551"/>
      <c r="K33" s="473"/>
      <c r="L33" s="166"/>
      <c r="M33" s="2" t="str">
        <f t="shared" si="1"/>
        <v>*</v>
      </c>
    </row>
    <row r="34" spans="1:13" s="2" customFormat="1" ht="30" customHeight="1">
      <c r="A34" s="49" t="s">
        <v>0</v>
      </c>
      <c r="B34" s="280" t="str">
        <f>'Languages France'!L203</f>
        <v>Montant TTC prévu annuallement</v>
      </c>
      <c r="C34" s="446"/>
      <c r="D34" s="446"/>
      <c r="E34" s="446"/>
      <c r="F34" s="446"/>
      <c r="G34" s="446"/>
      <c r="H34" s="446"/>
      <c r="I34" s="551"/>
      <c r="J34" s="551"/>
      <c r="K34" s="473"/>
      <c r="L34" s="166"/>
      <c r="M34" s="2" t="str">
        <f t="shared" si="1"/>
        <v>*</v>
      </c>
    </row>
    <row r="35" spans="1:13" s="2" customFormat="1" ht="30" customHeight="1">
      <c r="A35" s="49" t="s">
        <v>0</v>
      </c>
      <c r="B35" s="280" t="str">
        <f>'Languages France'!L205</f>
        <v>Description de l’achat</v>
      </c>
      <c r="C35" s="446"/>
      <c r="D35" s="446"/>
      <c r="E35" s="446"/>
      <c r="F35" s="446"/>
      <c r="G35" s="446"/>
      <c r="H35" s="446"/>
      <c r="I35" s="551"/>
      <c r="J35" s="551"/>
      <c r="K35" s="473"/>
      <c r="L35" s="166"/>
      <c r="M35" s="2" t="str">
        <f t="shared" si="1"/>
        <v>*</v>
      </c>
    </row>
    <row r="36" spans="1:13" ht="15" customHeight="1">
      <c r="A36" s="240" t="s">
        <v>0</v>
      </c>
      <c r="B36" s="547" t="str">
        <f>'Languages France'!L204</f>
        <v>Contact pour l'invitation à l'attestation électronique</v>
      </c>
      <c r="C36" s="547"/>
      <c r="D36" s="547"/>
      <c r="E36" s="548"/>
      <c r="F36" s="221" t="str">
        <f>'Languages France'!L197</f>
        <v>Nom</v>
      </c>
      <c r="G36" s="302"/>
      <c r="H36" s="303"/>
      <c r="I36" s="303"/>
      <c r="J36" s="303"/>
      <c r="K36" s="303"/>
      <c r="L36" s="304"/>
      <c r="M36" s="1" t="s">
        <v>0</v>
      </c>
    </row>
    <row r="37" spans="1:13" ht="18">
      <c r="A37" s="213"/>
      <c r="B37" s="547"/>
      <c r="C37" s="547"/>
      <c r="D37" s="547"/>
      <c r="E37" s="548"/>
      <c r="F37" s="205" t="s">
        <v>2086</v>
      </c>
      <c r="G37" s="473"/>
      <c r="H37" s="474"/>
      <c r="I37" s="474"/>
      <c r="J37" s="474"/>
      <c r="K37" s="474"/>
      <c r="L37" s="475"/>
      <c r="M37" s="1" t="s">
        <v>0</v>
      </c>
    </row>
    <row r="38" spans="1:13" ht="18">
      <c r="A38" s="120"/>
      <c r="B38" s="549"/>
      <c r="C38" s="549"/>
      <c r="D38" s="549"/>
      <c r="E38" s="550"/>
      <c r="F38" s="205" t="s">
        <v>2087</v>
      </c>
      <c r="G38" s="473"/>
      <c r="H38" s="474"/>
      <c r="I38" s="474"/>
      <c r="J38" s="474"/>
      <c r="K38" s="474"/>
      <c r="L38" s="475"/>
      <c r="M38" s="1" t="s">
        <v>0</v>
      </c>
    </row>
    <row r="39" spans="1:13" s="2" customFormat="1" ht="54.9" customHeight="1">
      <c r="A39" s="49" t="s">
        <v>0</v>
      </c>
      <c r="B39" s="281" t="str">
        <f>'Languages France'!L39</f>
        <v>A votre connaissance, est-ce que vous, un membre de votre famille, un employé de RELX ou un membre de la famille d'un employé de RELX, avez ou avez déjà eu un intérêt financier avec le fournisseur (Ex : avoir travaillé avec, s'être concerté avec, être endetté envers, avoir investi ou détenir des titres) ?</v>
      </c>
      <c r="C39" s="281"/>
      <c r="D39" s="281"/>
      <c r="E39" s="281"/>
      <c r="F39" s="281"/>
      <c r="G39" s="281"/>
      <c r="H39" s="281"/>
      <c r="I39" s="281"/>
      <c r="J39" s="282"/>
      <c r="K39" s="176" t="s">
        <v>1294</v>
      </c>
      <c r="L39" s="45"/>
      <c r="M39" s="2" t="str">
        <f t="shared" si="1"/>
        <v>*</v>
      </c>
    </row>
    <row r="40" spans="1:13" s="2" customFormat="1" ht="25.5" customHeight="1">
      <c r="A40" s="49" t="str">
        <f>IF(B40&gt;"","*","")</f>
        <v/>
      </c>
      <c r="B40" s="449" t="str">
        <f>IF(K39='Languages France'!L108,'Languages France'!L40,"")</f>
        <v/>
      </c>
      <c r="C40" s="497"/>
      <c r="D40" s="497"/>
      <c r="E40" s="321"/>
      <c r="F40" s="322"/>
      <c r="G40" s="322"/>
      <c r="H40" s="322"/>
      <c r="I40" s="322"/>
      <c r="J40" s="322"/>
      <c r="K40" s="322"/>
      <c r="L40" s="323"/>
      <c r="M40" s="2" t="str">
        <f t="shared" si="1"/>
        <v/>
      </c>
    </row>
    <row r="41" spans="1:13" ht="83.25" customHeight="1" thickBot="1">
      <c r="A41" s="155"/>
      <c r="B41" s="488" t="str">
        <f>'Languages France'!L41</f>
        <v>En soumettant ce formulaire, je certifie que, à ma connaissance, les informations contenues dans ce formulaire sont exactes et je comprends que toute fausse déclaration sur ce formulaire pourrait m'exposer à des mesures disciplinaires, pouvant aller jusqu'à la cessation de mon emploi. J'accepte en outre d'aviser rapidement le département comptabilité fournisseur si je découvre des informations supplémentaires qui rendraient inexactes les informations de ce formulaire afin que ces dernières puissent être mises à jour.</v>
      </c>
      <c r="C41" s="488"/>
      <c r="D41" s="488"/>
      <c r="E41" s="488"/>
      <c r="F41" s="488"/>
      <c r="G41" s="488"/>
      <c r="H41" s="488"/>
      <c r="I41" s="488"/>
      <c r="J41" s="488"/>
      <c r="K41" s="488"/>
      <c r="L41" s="156"/>
      <c r="M41" s="2" t="s">
        <v>0</v>
      </c>
    </row>
    <row r="42" spans="1:13" ht="35.1" customHeight="1" thickBot="1">
      <c r="A42" s="338" t="str">
        <f>'Languages France'!L43</f>
        <v>INFORMATIONS DU FOURNISSEUR (à remplir par le fournisseur)</v>
      </c>
      <c r="B42" s="339"/>
      <c r="C42" s="339"/>
      <c r="D42" s="339"/>
      <c r="E42" s="339"/>
      <c r="F42" s="339"/>
      <c r="G42" s="339"/>
      <c r="H42" s="339"/>
      <c r="I42" s="339"/>
      <c r="J42" s="339"/>
      <c r="K42" s="339"/>
      <c r="L42" s="340"/>
      <c r="M42" s="1" t="s">
        <v>0</v>
      </c>
    </row>
    <row r="43" spans="1:13" ht="63.9" customHeight="1">
      <c r="A43" s="123"/>
      <c r="B43" s="486" t="str">
        <f>'Languages France'!L4</f>
        <v>Ce formulaire est utilisé pour recueillir les informations requises par notre service financier pour payer vos dépenses, honoraires ou autres frais. RELX n'utilisera ces informations à aucune autre fin que celle mentionnée ci-dessus. Ces informations DOIVENT être reçues avant tout paiement. Pour les termes et conditions, nous nous référons à l'accord conclu entre vous et votre entité commerciale légale RELX.</v>
      </c>
      <c r="C43" s="486"/>
      <c r="D43" s="486"/>
      <c r="E43" s="486"/>
      <c r="F43" s="486"/>
      <c r="G43" s="486"/>
      <c r="H43" s="486"/>
      <c r="I43" s="486"/>
      <c r="J43" s="487"/>
      <c r="K43" s="486"/>
      <c r="L43" s="47"/>
      <c r="M43" s="1" t="s">
        <v>0</v>
      </c>
    </row>
    <row r="44" spans="1:13" ht="48" customHeight="1">
      <c r="A44" s="143" t="str">
        <f>IF(suppaytype='Drop Down Lists'!D38,"*","")</f>
        <v/>
      </c>
      <c r="B44" s="341" t="str">
        <f>'Languages France'!L7</f>
        <v>Cliquez sur la case bleue pour afficher les exigences de facturation importantes de RELX Global. Le respect de ces exigences réduira le risque de retard de paiement ou de rejet de facture.</v>
      </c>
      <c r="C44" s="341"/>
      <c r="D44" s="341"/>
      <c r="E44" s="341"/>
      <c r="F44" s="341"/>
      <c r="G44" s="341"/>
      <c r="H44" s="341"/>
      <c r="I44" s="341"/>
      <c r="J44" s="342"/>
      <c r="K44" s="110" t="s">
        <v>10</v>
      </c>
      <c r="L44" s="46"/>
    </row>
    <row r="45" spans="1:13" ht="48" customHeight="1" thickBot="1">
      <c r="A45" s="125"/>
      <c r="B45" s="520" t="str">
        <f>'Languages France'!L5</f>
        <v xml:space="preserve">Veuillez s'il vous plaît remplir TOUS les champs obligatoires et les valider selon les instructions ci-dessous. </v>
      </c>
      <c r="C45" s="520"/>
      <c r="D45" s="520"/>
      <c r="E45" s="520"/>
      <c r="F45" s="520"/>
      <c r="G45" s="520"/>
      <c r="H45" s="520"/>
      <c r="I45" s="134" t="s">
        <v>11</v>
      </c>
      <c r="J45" s="498" t="str">
        <f>'Languages France'!L9</f>
        <v>Champs obligatoires</v>
      </c>
      <c r="K45" s="499"/>
      <c r="L45" s="48"/>
      <c r="M45" s="1" t="s">
        <v>0</v>
      </c>
    </row>
    <row r="46" spans="1:13" ht="35.1" customHeight="1">
      <c r="A46" s="49" t="s">
        <v>0</v>
      </c>
      <c r="B46" s="281" t="str">
        <f>'Languages France'!L49</f>
        <v>Nom du fournisseur/commercial/individu</v>
      </c>
      <c r="C46" s="281"/>
      <c r="D46" s="281"/>
      <c r="E46" s="281"/>
      <c r="F46" s="282"/>
      <c r="G46" s="501"/>
      <c r="H46" s="502"/>
      <c r="I46" s="502"/>
      <c r="J46" s="502"/>
      <c r="K46" s="502"/>
      <c r="L46" s="503"/>
      <c r="M46" s="1" t="str">
        <f>A46</f>
        <v>*</v>
      </c>
    </row>
    <row r="47" spans="1:13" ht="35.1" customHeight="1">
      <c r="A47" s="49" t="s">
        <v>0</v>
      </c>
      <c r="B47" s="281" t="str">
        <f>'Languages France'!L214</f>
        <v>Type d'organisation</v>
      </c>
      <c r="C47" s="281"/>
      <c r="D47" s="281"/>
      <c r="E47" s="281"/>
      <c r="F47" s="282"/>
      <c r="G47" s="346" t="s">
        <v>966</v>
      </c>
      <c r="H47" s="347"/>
      <c r="I47" s="347"/>
      <c r="J47" s="347"/>
      <c r="K47" s="347"/>
      <c r="L47" s="252"/>
      <c r="M47" s="1" t="str">
        <f t="shared" ref="M47:M50" si="3">A47</f>
        <v>*</v>
      </c>
    </row>
    <row r="48" spans="1:13" ht="35.1" customHeight="1">
      <c r="A48" s="49" t="s">
        <v>0</v>
      </c>
      <c r="B48" s="281" t="str">
        <f>'Languages France'!L223</f>
        <v>Classification des entreprises</v>
      </c>
      <c r="C48" s="281"/>
      <c r="D48" s="281"/>
      <c r="E48" s="281"/>
      <c r="F48" s="282"/>
      <c r="G48" s="346" t="s">
        <v>966</v>
      </c>
      <c r="H48" s="347"/>
      <c r="I48" s="347"/>
      <c r="J48" s="347"/>
      <c r="K48" s="347"/>
      <c r="L48" s="252"/>
      <c r="M48" s="1" t="str">
        <f t="shared" si="3"/>
        <v>*</v>
      </c>
    </row>
    <row r="49" spans="1:13" ht="35.1" customHeight="1">
      <c r="A49" s="49" t="s">
        <v>0</v>
      </c>
      <c r="B49" s="279" t="str">
        <f>'Languages France'!L235</f>
        <v>Produits et services :</v>
      </c>
      <c r="C49" s="279"/>
      <c r="D49" s="279"/>
      <c r="E49" s="279"/>
      <c r="F49" s="279"/>
      <c r="G49" s="325"/>
      <c r="H49" s="325"/>
      <c r="I49" s="325"/>
      <c r="J49" s="325"/>
      <c r="K49" s="325"/>
      <c r="L49" s="46"/>
      <c r="M49" s="1" t="str">
        <f t="shared" si="3"/>
        <v>*</v>
      </c>
    </row>
    <row r="50" spans="1:13" ht="41.25" customHeight="1">
      <c r="A50" s="49"/>
      <c r="B50" s="270"/>
      <c r="C50" s="489" t="s">
        <v>966</v>
      </c>
      <c r="D50" s="489"/>
      <c r="E50" s="489"/>
      <c r="F50" s="489"/>
      <c r="G50" s="489"/>
      <c r="H50" s="489"/>
      <c r="I50" s="489"/>
      <c r="J50" s="489"/>
      <c r="K50" s="489"/>
      <c r="L50" s="490"/>
      <c r="M50" s="1">
        <f t="shared" si="3"/>
        <v>0</v>
      </c>
    </row>
    <row r="51" spans="1:13" ht="18">
      <c r="A51" s="231"/>
      <c r="B51" s="533" t="str">
        <f>'Languages France'!L185</f>
        <v xml:space="preserve">Adresse d’en-tête Facture </v>
      </c>
      <c r="C51" s="533"/>
      <c r="D51" s="533"/>
      <c r="E51" s="533"/>
      <c r="F51" s="533"/>
      <c r="G51" s="533"/>
      <c r="H51" s="533"/>
      <c r="I51" s="533"/>
      <c r="J51" s="533"/>
      <c r="K51" s="533"/>
      <c r="L51" s="232"/>
      <c r="M51" s="1" t="s">
        <v>0</v>
      </c>
    </row>
    <row r="52" spans="1:13" ht="30" customHeight="1">
      <c r="A52" s="120" t="s">
        <v>0</v>
      </c>
      <c r="B52" s="531" t="str">
        <f>'Languages France'!L50</f>
        <v>Pays (choisir un pays)</v>
      </c>
      <c r="C52" s="531"/>
      <c r="D52" s="531"/>
      <c r="E52" s="531"/>
      <c r="F52" s="514"/>
      <c r="G52" s="532" t="s">
        <v>12</v>
      </c>
      <c r="H52" s="465"/>
      <c r="I52" s="465"/>
      <c r="J52" s="465"/>
      <c r="K52" s="465"/>
      <c r="L52" s="164"/>
      <c r="M52" s="1" t="str">
        <f t="shared" ref="M52" si="4">A52</f>
        <v>*</v>
      </c>
    </row>
    <row r="53" spans="1:13" ht="30" customHeight="1">
      <c r="A53" s="49" t="s">
        <v>0</v>
      </c>
      <c r="B53" s="281" t="str">
        <f>'Languages France'!L51</f>
        <v>Pays du domicile fiscal (choisir un pays)</v>
      </c>
      <c r="C53" s="281"/>
      <c r="D53" s="281"/>
      <c r="E53" s="281"/>
      <c r="F53" s="282"/>
      <c r="G53" s="335" t="s">
        <v>12</v>
      </c>
      <c r="H53" s="335"/>
      <c r="I53" s="335"/>
      <c r="J53" s="335"/>
      <c r="K53" s="335"/>
      <c r="L53" s="46"/>
      <c r="M53" s="1" t="str">
        <f>A53</f>
        <v>*</v>
      </c>
    </row>
    <row r="54" spans="1:13" ht="30" customHeight="1">
      <c r="A54" s="49" t="s">
        <v>0</v>
      </c>
      <c r="B54" s="287" t="str">
        <f>'Languages France'!L52</f>
        <v>Adresse - ligne 1</v>
      </c>
      <c r="C54" s="287"/>
      <c r="D54" s="287"/>
      <c r="E54" s="287"/>
      <c r="F54" s="288"/>
      <c r="G54" s="285"/>
      <c r="H54" s="286"/>
      <c r="I54" s="286"/>
      <c r="J54" s="286"/>
      <c r="K54" s="286"/>
      <c r="L54" s="305"/>
      <c r="M54" s="1" t="s">
        <v>0</v>
      </c>
    </row>
    <row r="55" spans="1:13" ht="30" customHeight="1">
      <c r="A55" s="124"/>
      <c r="B55" s="287" t="str">
        <f>'Languages France'!L53</f>
        <v>Adresse - ligne 2</v>
      </c>
      <c r="C55" s="287"/>
      <c r="D55" s="287"/>
      <c r="E55" s="287"/>
      <c r="F55" s="288"/>
      <c r="G55" s="285"/>
      <c r="H55" s="286"/>
      <c r="I55" s="286"/>
      <c r="J55" s="286"/>
      <c r="K55" s="286"/>
      <c r="L55" s="305"/>
      <c r="M55" s="1" t="s">
        <v>0</v>
      </c>
    </row>
    <row r="56" spans="1:13" ht="30" customHeight="1">
      <c r="A56" s="124"/>
      <c r="B56" s="287" t="str">
        <f>'Languages France'!L54</f>
        <v>Adresse - ligne 3</v>
      </c>
      <c r="C56" s="287"/>
      <c r="D56" s="287"/>
      <c r="E56" s="287"/>
      <c r="F56" s="288"/>
      <c r="G56" s="285"/>
      <c r="H56" s="286"/>
      <c r="I56" s="286"/>
      <c r="J56" s="286"/>
      <c r="K56" s="286"/>
      <c r="L56" s="305"/>
      <c r="M56" s="1" t="s">
        <v>0</v>
      </c>
    </row>
    <row r="57" spans="1:13" ht="30" customHeight="1">
      <c r="A57" s="49" t="str">
        <f>IF(B57&gt;"","*","")</f>
        <v>*</v>
      </c>
      <c r="B57" s="287" t="str">
        <f>'Languages France'!L56</f>
        <v>Ville</v>
      </c>
      <c r="C57" s="287"/>
      <c r="D57" s="287"/>
      <c r="E57" s="287"/>
      <c r="F57" s="288"/>
      <c r="G57" s="285"/>
      <c r="H57" s="286"/>
      <c r="I57" s="286"/>
      <c r="J57" s="286"/>
      <c r="K57" s="286"/>
      <c r="L57" s="305"/>
      <c r="M57" s="1" t="str">
        <f t="shared" ref="M57:M58" si="5">A57</f>
        <v>*</v>
      </c>
    </row>
    <row r="58" spans="1:13" ht="30" customHeight="1">
      <c r="A58" s="49" t="s">
        <v>0</v>
      </c>
      <c r="B58" s="287" t="str">
        <f>'Languages France'!L57</f>
        <v>Code postal</v>
      </c>
      <c r="C58" s="287"/>
      <c r="D58" s="287"/>
      <c r="E58" s="287"/>
      <c r="F58" s="288"/>
      <c r="G58" s="285"/>
      <c r="H58" s="286"/>
      <c r="I58" s="286"/>
      <c r="J58" s="286"/>
      <c r="K58" s="286"/>
      <c r="L58" s="305"/>
      <c r="M58" s="1" t="str">
        <f t="shared" si="5"/>
        <v>*</v>
      </c>
    </row>
    <row r="59" spans="1:13" ht="30" customHeight="1">
      <c r="A59" s="49" t="s">
        <v>0</v>
      </c>
      <c r="B59" s="281" t="str">
        <f>'Languages France'!L196</f>
        <v>Contact général e-mail</v>
      </c>
      <c r="C59" s="281"/>
      <c r="D59" s="281"/>
      <c r="E59" s="281"/>
      <c r="F59" s="282"/>
      <c r="G59" s="321"/>
      <c r="H59" s="322"/>
      <c r="I59" s="322"/>
      <c r="J59" s="322"/>
      <c r="K59" s="322"/>
      <c r="L59" s="323"/>
      <c r="M59" s="1" t="s">
        <v>0</v>
      </c>
    </row>
    <row r="60" spans="1:13" ht="30" customHeight="1">
      <c r="A60" s="49" t="s">
        <v>0</v>
      </c>
      <c r="B60" s="279" t="str">
        <f>'Languages France'!L206</f>
        <v>Adresse e-mail du compte utilisateur</v>
      </c>
      <c r="C60" s="279"/>
      <c r="D60" s="279"/>
      <c r="E60" s="279"/>
      <c r="F60" s="280"/>
      <c r="G60" s="473"/>
      <c r="H60" s="474"/>
      <c r="I60" s="474"/>
      <c r="J60" s="474"/>
      <c r="K60" s="474"/>
      <c r="L60" s="475"/>
      <c r="M60" s="1" t="s">
        <v>0</v>
      </c>
    </row>
    <row r="61" spans="1:13" ht="30" customHeight="1">
      <c r="A61" s="122"/>
      <c r="B61" s="546" t="str">
        <f>'Languages France'!L207</f>
        <v>(Vous aurez accès à la configuration du profil du fournisseur et aux informations bancaires dans le portail des fournisseurs - lorsqu'elles seront disponibles.)</v>
      </c>
      <c r="C61" s="546"/>
      <c r="D61" s="546"/>
      <c r="E61" s="546"/>
      <c r="F61" s="546"/>
      <c r="G61" s="546"/>
      <c r="H61" s="546"/>
      <c r="I61" s="546"/>
      <c r="J61" s="546"/>
      <c r="K61" s="546"/>
      <c r="L61" s="251"/>
    </row>
    <row r="62" spans="1:13" ht="35.1" customHeight="1">
      <c r="A62" s="122" t="s">
        <v>0</v>
      </c>
      <c r="B62" s="367" t="str">
        <f>'Languages France'!L63</f>
        <v>Numéro de téléphone du fournisseur/bénéficiaire</v>
      </c>
      <c r="C62" s="367"/>
      <c r="D62" s="367"/>
      <c r="E62" s="367"/>
      <c r="F62" s="367"/>
      <c r="G62" s="552" t="str">
        <f>IF(country="select a country…","",CONCATENATE("+",VLOOKUP(country,'Drop Down Lists'!$U$1:$V$254,2,FALSE)))</f>
        <v/>
      </c>
      <c r="H62" s="553"/>
      <c r="I62" s="554"/>
      <c r="J62" s="470"/>
      <c r="K62" s="470"/>
      <c r="L62" s="555"/>
      <c r="M62" s="1" t="str">
        <f t="shared" ref="M62" si="6">A62</f>
        <v>*</v>
      </c>
    </row>
    <row r="63" spans="1:13" ht="18">
      <c r="A63" s="231"/>
      <c r="B63" s="533" t="str">
        <f>'Languages France'!L184</f>
        <v>Adresse de réception du Bon de cde</v>
      </c>
      <c r="C63" s="533"/>
      <c r="D63" s="533"/>
      <c r="E63" s="533"/>
      <c r="F63" s="533"/>
      <c r="G63" s="533"/>
      <c r="H63" s="533"/>
      <c r="I63" s="533"/>
      <c r="J63" s="533"/>
      <c r="K63" s="533"/>
      <c r="L63" s="232"/>
      <c r="M63" s="1" t="s">
        <v>0</v>
      </c>
    </row>
    <row r="64" spans="1:13" ht="30" customHeight="1">
      <c r="A64" s="120"/>
      <c r="B64" s="531" t="str">
        <f>'Languages France'!L50</f>
        <v>Pays (choisir un pays)</v>
      </c>
      <c r="C64" s="531"/>
      <c r="D64" s="531"/>
      <c r="E64" s="531"/>
      <c r="F64" s="514"/>
      <c r="G64" s="465" t="s">
        <v>12</v>
      </c>
      <c r="H64" s="465"/>
      <c r="I64" s="465"/>
      <c r="J64" s="465"/>
      <c r="K64" s="465"/>
      <c r="L64" s="164"/>
      <c r="M64" s="1" t="s">
        <v>0</v>
      </c>
    </row>
    <row r="65" spans="1:19" ht="30" customHeight="1">
      <c r="A65" s="49"/>
      <c r="B65" s="287" t="str">
        <f>'Languages France'!L52</f>
        <v>Adresse - ligne 1</v>
      </c>
      <c r="C65" s="287"/>
      <c r="D65" s="287"/>
      <c r="E65" s="287"/>
      <c r="F65" s="288"/>
      <c r="G65" s="346"/>
      <c r="H65" s="347"/>
      <c r="I65" s="347"/>
      <c r="J65" s="347"/>
      <c r="K65" s="347"/>
      <c r="L65" s="348"/>
      <c r="M65" s="1" t="s">
        <v>0</v>
      </c>
    </row>
    <row r="66" spans="1:19" ht="30" customHeight="1">
      <c r="A66" s="49"/>
      <c r="B66" s="287" t="str">
        <f>'Languages France'!L53</f>
        <v>Adresse - ligne 2</v>
      </c>
      <c r="C66" s="287"/>
      <c r="D66" s="287"/>
      <c r="E66" s="287"/>
      <c r="F66" s="288"/>
      <c r="G66" s="346"/>
      <c r="H66" s="347"/>
      <c r="I66" s="347"/>
      <c r="J66" s="347"/>
      <c r="K66" s="347"/>
      <c r="L66" s="348"/>
      <c r="M66" s="1" t="s">
        <v>0</v>
      </c>
    </row>
    <row r="67" spans="1:19" ht="30" customHeight="1">
      <c r="A67" s="49"/>
      <c r="B67" s="287" t="str">
        <f>'Languages France'!L54</f>
        <v>Adresse - ligne 3</v>
      </c>
      <c r="C67" s="287"/>
      <c r="D67" s="287"/>
      <c r="E67" s="287"/>
      <c r="F67" s="288"/>
      <c r="G67" s="346"/>
      <c r="H67" s="347"/>
      <c r="I67" s="347"/>
      <c r="J67" s="347"/>
      <c r="K67" s="347"/>
      <c r="L67" s="348"/>
      <c r="M67" s="1" t="s">
        <v>0</v>
      </c>
    </row>
    <row r="68" spans="1:19" ht="30" customHeight="1">
      <c r="A68" s="49"/>
      <c r="B68" s="287" t="str">
        <f>'Languages France'!L56</f>
        <v>Ville</v>
      </c>
      <c r="C68" s="287"/>
      <c r="D68" s="287"/>
      <c r="E68" s="287"/>
      <c r="F68" s="288"/>
      <c r="G68" s="346"/>
      <c r="H68" s="347"/>
      <c r="I68" s="347"/>
      <c r="J68" s="347"/>
      <c r="K68" s="347"/>
      <c r="L68" s="348"/>
      <c r="M68" s="1" t="s">
        <v>0</v>
      </c>
    </row>
    <row r="69" spans="1:19" ht="30" customHeight="1">
      <c r="A69" s="49"/>
      <c r="B69" s="287" t="str">
        <f>'Languages France'!L57</f>
        <v>Code postal</v>
      </c>
      <c r="C69" s="287"/>
      <c r="D69" s="287"/>
      <c r="E69" s="287"/>
      <c r="F69" s="288"/>
      <c r="G69" s="346"/>
      <c r="H69" s="347"/>
      <c r="I69" s="347"/>
      <c r="J69" s="347"/>
      <c r="K69" s="347"/>
      <c r="L69" s="348"/>
      <c r="M69" s="1" t="s">
        <v>0</v>
      </c>
    </row>
    <row r="70" spans="1:19" ht="30" customHeight="1">
      <c r="A70" s="122"/>
      <c r="B70" s="293" t="str">
        <f>'Languages France'!L60</f>
        <v>Adresse Email du fournisseur pour les bons de commande</v>
      </c>
      <c r="C70" s="293"/>
      <c r="D70" s="293"/>
      <c r="E70" s="293"/>
      <c r="F70" s="294"/>
      <c r="G70" s="568"/>
      <c r="H70" s="569"/>
      <c r="I70" s="569"/>
      <c r="J70" s="569"/>
      <c r="K70" s="569"/>
      <c r="L70" s="570"/>
      <c r="M70" s="1" t="s">
        <v>0</v>
      </c>
    </row>
    <row r="71" spans="1:19" ht="18">
      <c r="A71" s="231"/>
      <c r="B71" s="533" t="str">
        <f>'Languages France'!L186</f>
        <v>Adresse de réception de l’avis de virement</v>
      </c>
      <c r="C71" s="533"/>
      <c r="D71" s="533"/>
      <c r="E71" s="533"/>
      <c r="F71" s="533"/>
      <c r="G71" s="533"/>
      <c r="H71" s="533"/>
      <c r="I71" s="533"/>
      <c r="J71" s="533"/>
      <c r="K71" s="533"/>
      <c r="L71" s="232"/>
      <c r="M71" s="1" t="s">
        <v>0</v>
      </c>
    </row>
    <row r="72" spans="1:19" ht="30" customHeight="1">
      <c r="A72" s="120"/>
      <c r="B72" s="531" t="str">
        <f>'Languages France'!L50</f>
        <v>Pays (choisir un pays)</v>
      </c>
      <c r="C72" s="531"/>
      <c r="D72" s="531"/>
      <c r="E72" s="531"/>
      <c r="F72" s="514"/>
      <c r="G72" s="465" t="s">
        <v>12</v>
      </c>
      <c r="H72" s="465"/>
      <c r="I72" s="465"/>
      <c r="J72" s="465"/>
      <c r="K72" s="465"/>
      <c r="L72" s="164"/>
      <c r="M72" s="1" t="s">
        <v>0</v>
      </c>
    </row>
    <row r="73" spans="1:19" ht="30" customHeight="1">
      <c r="A73" s="49"/>
      <c r="B73" s="287" t="str">
        <f>'Languages France'!L52</f>
        <v>Adresse - ligne 1</v>
      </c>
      <c r="C73" s="287"/>
      <c r="D73" s="287"/>
      <c r="E73" s="287"/>
      <c r="F73" s="288"/>
      <c r="G73" s="346"/>
      <c r="H73" s="347"/>
      <c r="I73" s="347"/>
      <c r="J73" s="347"/>
      <c r="K73" s="347"/>
      <c r="L73" s="348"/>
      <c r="M73" s="1" t="s">
        <v>0</v>
      </c>
    </row>
    <row r="74" spans="1:19" ht="30" customHeight="1">
      <c r="A74" s="49"/>
      <c r="B74" s="287" t="str">
        <f>'Languages France'!L53</f>
        <v>Adresse - ligne 2</v>
      </c>
      <c r="C74" s="287"/>
      <c r="D74" s="287"/>
      <c r="E74" s="287"/>
      <c r="F74" s="288"/>
      <c r="G74" s="346"/>
      <c r="H74" s="347"/>
      <c r="I74" s="347"/>
      <c r="J74" s="347"/>
      <c r="K74" s="347"/>
      <c r="L74" s="348"/>
      <c r="M74" s="1" t="s">
        <v>0</v>
      </c>
    </row>
    <row r="75" spans="1:19" ht="30" customHeight="1">
      <c r="A75" s="49"/>
      <c r="B75" s="287" t="str">
        <f>'Languages France'!L54</f>
        <v>Adresse - ligne 3</v>
      </c>
      <c r="C75" s="287"/>
      <c r="D75" s="287"/>
      <c r="E75" s="287"/>
      <c r="F75" s="288"/>
      <c r="G75" s="346"/>
      <c r="H75" s="347"/>
      <c r="I75" s="347"/>
      <c r="J75" s="347"/>
      <c r="K75" s="347"/>
      <c r="L75" s="348"/>
      <c r="M75" s="1" t="s">
        <v>0</v>
      </c>
    </row>
    <row r="76" spans="1:19" ht="30" customHeight="1">
      <c r="A76" s="49"/>
      <c r="B76" s="287" t="str">
        <f>'Languages France'!L56</f>
        <v>Ville</v>
      </c>
      <c r="C76" s="287"/>
      <c r="D76" s="287"/>
      <c r="E76" s="287"/>
      <c r="F76" s="288"/>
      <c r="G76" s="346"/>
      <c r="H76" s="347"/>
      <c r="I76" s="347"/>
      <c r="J76" s="347"/>
      <c r="K76" s="347"/>
      <c r="L76" s="348"/>
      <c r="M76" s="1" t="s">
        <v>0</v>
      </c>
    </row>
    <row r="77" spans="1:19" ht="30" customHeight="1">
      <c r="A77" s="222"/>
      <c r="B77" s="571" t="str">
        <f>'Languages France'!L57</f>
        <v>Code postal</v>
      </c>
      <c r="C77" s="571"/>
      <c r="D77" s="571"/>
      <c r="E77" s="571"/>
      <c r="F77" s="572"/>
      <c r="G77" s="410"/>
      <c r="H77" s="411"/>
      <c r="I77" s="411"/>
      <c r="J77" s="411"/>
      <c r="K77" s="411"/>
      <c r="L77" s="412"/>
      <c r="M77" s="1" t="s">
        <v>0</v>
      </c>
      <c r="N77" s="308" t="str">
        <f>'Languages France'!L65</f>
        <v>Si l'adresse change uniquement, passez à la ligne 113.</v>
      </c>
      <c r="O77" s="309"/>
      <c r="P77" s="309"/>
      <c r="Q77" s="309"/>
      <c r="R77" s="309"/>
      <c r="S77" s="310"/>
    </row>
    <row r="78" spans="1:19" ht="15" customHeight="1">
      <c r="A78" s="220"/>
      <c r="B78" s="547" t="str">
        <f>'Languages France'!L198</f>
        <v>Contact commercial</v>
      </c>
      <c r="C78" s="547"/>
      <c r="D78" s="547"/>
      <c r="E78" s="548"/>
      <c r="F78" s="221" t="str">
        <f>'Languages France'!L197</f>
        <v>Nom</v>
      </c>
      <c r="G78" s="302"/>
      <c r="H78" s="303"/>
      <c r="I78" s="303"/>
      <c r="J78" s="303"/>
      <c r="K78" s="303"/>
      <c r="L78" s="304"/>
      <c r="M78" s="1" t="s">
        <v>0</v>
      </c>
    </row>
    <row r="79" spans="1:19" ht="18">
      <c r="A79" s="213"/>
      <c r="B79" s="547"/>
      <c r="C79" s="547"/>
      <c r="D79" s="547"/>
      <c r="E79" s="548"/>
      <c r="F79" s="205" t="s">
        <v>2086</v>
      </c>
      <c r="G79" s="473"/>
      <c r="H79" s="474"/>
      <c r="I79" s="474"/>
      <c r="J79" s="474"/>
      <c r="K79" s="474"/>
      <c r="L79" s="475"/>
      <c r="M79" s="1" t="s">
        <v>0</v>
      </c>
    </row>
    <row r="80" spans="1:19" ht="18">
      <c r="A80" s="120"/>
      <c r="B80" s="549"/>
      <c r="C80" s="549"/>
      <c r="D80" s="549"/>
      <c r="E80" s="550"/>
      <c r="F80" s="205" t="s">
        <v>2087</v>
      </c>
      <c r="G80" s="473"/>
      <c r="H80" s="474"/>
      <c r="I80" s="474"/>
      <c r="J80" s="474"/>
      <c r="K80" s="474"/>
      <c r="L80" s="475"/>
      <c r="M80" s="1" t="s">
        <v>0</v>
      </c>
    </row>
    <row r="81" spans="1:13" ht="15" customHeight="1">
      <c r="A81" s="155"/>
      <c r="B81" s="575" t="str">
        <f>'Languages France'!L199</f>
        <v>Contact comptable</v>
      </c>
      <c r="C81" s="575"/>
      <c r="D81" s="575"/>
      <c r="E81" s="576"/>
      <c r="F81" s="205" t="str">
        <f>'Languages France'!L197</f>
        <v>Nom</v>
      </c>
      <c r="G81" s="285"/>
      <c r="H81" s="286"/>
      <c r="I81" s="286"/>
      <c r="J81" s="286"/>
      <c r="K81" s="286"/>
      <c r="L81" s="305"/>
      <c r="M81" s="1" t="s">
        <v>0</v>
      </c>
    </row>
    <row r="82" spans="1:13" ht="18">
      <c r="A82" s="213"/>
      <c r="B82" s="547"/>
      <c r="C82" s="547"/>
      <c r="D82" s="547"/>
      <c r="E82" s="548"/>
      <c r="F82" s="205" t="s">
        <v>2086</v>
      </c>
      <c r="G82" s="473"/>
      <c r="H82" s="474"/>
      <c r="I82" s="474"/>
      <c r="J82" s="474"/>
      <c r="K82" s="474"/>
      <c r="L82" s="475"/>
      <c r="M82" s="1" t="s">
        <v>0</v>
      </c>
    </row>
    <row r="83" spans="1:13" ht="18">
      <c r="A83" s="223"/>
      <c r="B83" s="577"/>
      <c r="C83" s="577"/>
      <c r="D83" s="577"/>
      <c r="E83" s="578"/>
      <c r="F83" s="224" t="s">
        <v>2087</v>
      </c>
      <c r="G83" s="556"/>
      <c r="H83" s="557"/>
      <c r="I83" s="557"/>
      <c r="J83" s="557"/>
      <c r="K83" s="557"/>
      <c r="L83" s="558"/>
      <c r="M83" s="1" t="s">
        <v>0</v>
      </c>
    </row>
    <row r="84" spans="1:13" ht="35.1" customHeight="1">
      <c r="A84" s="120"/>
      <c r="B84" s="325" t="str">
        <f>'Languages France'!L176</f>
        <v>Raison Sociale</v>
      </c>
      <c r="C84" s="325"/>
      <c r="D84" s="325"/>
      <c r="E84" s="325"/>
      <c r="F84" s="374"/>
      <c r="G84" s="526"/>
      <c r="H84" s="527"/>
      <c r="I84" s="527"/>
      <c r="J84" s="527"/>
      <c r="K84" s="527"/>
      <c r="L84" s="564"/>
      <c r="M84" s="1" t="s">
        <v>0</v>
      </c>
    </row>
    <row r="85" spans="1:13" ht="35.1" customHeight="1">
      <c r="A85" s="49"/>
      <c r="B85" s="279" t="str">
        <f>'Languages France'!L177</f>
        <v>Sigle, Enseigne ou Nom commercial</v>
      </c>
      <c r="C85" s="279"/>
      <c r="D85" s="279"/>
      <c r="E85" s="279"/>
      <c r="F85" s="280"/>
      <c r="G85" s="473"/>
      <c r="H85" s="474"/>
      <c r="I85" s="474"/>
      <c r="J85" s="474"/>
      <c r="K85" s="474"/>
      <c r="L85" s="475"/>
      <c r="M85" s="1" t="s">
        <v>0</v>
      </c>
    </row>
    <row r="86" spans="1:13" ht="35.1" customHeight="1">
      <c r="A86" s="49"/>
      <c r="B86" s="279" t="str">
        <f>'Languages France'!L178</f>
        <v>Activité</v>
      </c>
      <c r="C86" s="279"/>
      <c r="D86" s="279"/>
      <c r="E86" s="279"/>
      <c r="F86" s="280"/>
      <c r="G86" s="473"/>
      <c r="H86" s="474"/>
      <c r="I86" s="474"/>
      <c r="J86" s="474"/>
      <c r="K86" s="474"/>
      <c r="L86" s="475"/>
      <c r="M86" s="1" t="s">
        <v>0</v>
      </c>
    </row>
    <row r="87" spans="1:13" ht="35.1" customHeight="1">
      <c r="A87" s="49"/>
      <c r="B87" s="279" t="str">
        <f>'Languages France'!L179</f>
        <v>Forme juridique</v>
      </c>
      <c r="C87" s="279"/>
      <c r="D87" s="279"/>
      <c r="E87" s="279"/>
      <c r="F87" s="280"/>
      <c r="G87" s="473"/>
      <c r="H87" s="474"/>
      <c r="I87" s="474"/>
      <c r="J87" s="474"/>
      <c r="K87" s="474"/>
      <c r="L87" s="475"/>
      <c r="M87" s="1" t="s">
        <v>0</v>
      </c>
    </row>
    <row r="88" spans="1:13" ht="35.1" customHeight="1">
      <c r="A88" s="49"/>
      <c r="B88" s="279" t="str">
        <f>'Languages France'!L282</f>
        <v>Numéro de sécurité sociale</v>
      </c>
      <c r="C88" s="279"/>
      <c r="D88" s="279"/>
      <c r="E88" s="279"/>
      <c r="F88" s="280"/>
      <c r="G88" s="473"/>
      <c r="H88" s="474"/>
      <c r="I88" s="474"/>
      <c r="J88" s="474"/>
      <c r="K88" s="474"/>
      <c r="L88" s="249"/>
    </row>
    <row r="89" spans="1:13" ht="35.1" customHeight="1">
      <c r="A89" s="49"/>
      <c r="B89" s="279" t="str">
        <f>'Languages France'!L180</f>
        <v>N° de Tva intracommunautaire (Si non assujetti à la tva, expliquez pourquoi.)</v>
      </c>
      <c r="C89" s="279"/>
      <c r="D89" s="279"/>
      <c r="E89" s="279"/>
      <c r="F89" s="280"/>
      <c r="G89" s="473"/>
      <c r="H89" s="474"/>
      <c r="I89" s="474"/>
      <c r="J89" s="474"/>
      <c r="K89" s="474"/>
      <c r="L89" s="475"/>
      <c r="M89" s="1" t="s">
        <v>0</v>
      </c>
    </row>
    <row r="90" spans="1:13" ht="35.1" customHeight="1">
      <c r="A90" s="49"/>
      <c r="B90" s="279" t="str">
        <f>'Languages France'!L181</f>
        <v>N° Siret (Si non inscrit au répertoire, expliquez pourquoi.)</v>
      </c>
      <c r="C90" s="279"/>
      <c r="D90" s="279"/>
      <c r="E90" s="279"/>
      <c r="F90" s="280"/>
      <c r="G90" s="473"/>
      <c r="H90" s="474"/>
      <c r="I90" s="474"/>
      <c r="J90" s="474"/>
      <c r="K90" s="474"/>
      <c r="L90" s="475"/>
      <c r="M90" s="1" t="s">
        <v>0</v>
      </c>
    </row>
    <row r="91" spans="1:13" ht="35.1" customHeight="1">
      <c r="A91" s="49"/>
      <c r="B91" s="279" t="str">
        <f>'Languages France'!L182</f>
        <v>Autre n° d’immatriculation (association etc…)</v>
      </c>
      <c r="C91" s="279"/>
      <c r="D91" s="279"/>
      <c r="E91" s="279"/>
      <c r="F91" s="280"/>
      <c r="G91" s="473"/>
      <c r="H91" s="474"/>
      <c r="I91" s="474"/>
      <c r="J91" s="474"/>
      <c r="K91" s="474"/>
      <c r="L91" s="475"/>
      <c r="M91" s="1" t="s">
        <v>0</v>
      </c>
    </row>
    <row r="92" spans="1:13" ht="35.1" customHeight="1">
      <c r="A92" s="49"/>
      <c r="B92" s="279" t="str">
        <f>'Languages France'!L183</f>
        <v>Code Naf (nomenclature rév. 2 de 2008)</v>
      </c>
      <c r="C92" s="279"/>
      <c r="D92" s="488"/>
      <c r="E92" s="279"/>
      <c r="F92" s="353"/>
      <c r="G92" s="565"/>
      <c r="H92" s="566"/>
      <c r="I92" s="566"/>
      <c r="J92" s="566"/>
      <c r="K92" s="566"/>
      <c r="L92" s="567"/>
      <c r="M92" s="1" t="s">
        <v>0</v>
      </c>
    </row>
    <row r="93" spans="1:13" ht="18">
      <c r="A93" s="122"/>
      <c r="B93" s="353" t="str">
        <f>'Languages France'!L188</f>
        <v>Taux de TVA</v>
      </c>
      <c r="C93" s="214">
        <v>2.1000000000000001E-2</v>
      </c>
      <c r="D93" s="233"/>
      <c r="E93" s="214">
        <v>5.5E-2</v>
      </c>
      <c r="F93" s="234"/>
      <c r="G93" s="559">
        <v>0.1</v>
      </c>
      <c r="H93" s="560"/>
      <c r="I93" s="218"/>
      <c r="J93" s="235" t="s">
        <v>2088</v>
      </c>
      <c r="K93" s="218"/>
      <c r="L93" s="215"/>
      <c r="M93" s="1" t="s">
        <v>0</v>
      </c>
    </row>
    <row r="94" spans="1:13" ht="18">
      <c r="A94" s="120"/>
      <c r="B94" s="374"/>
      <c r="C94" s="212" t="str">
        <f>'Languages France'!L200</f>
        <v>Autres</v>
      </c>
      <c r="D94" s="217"/>
      <c r="E94" s="573"/>
      <c r="F94" s="325"/>
      <c r="G94" s="325"/>
      <c r="H94" s="574"/>
      <c r="I94" s="325"/>
      <c r="J94" s="325"/>
      <c r="K94" s="574"/>
      <c r="L94" s="216"/>
      <c r="M94" s="1" t="s">
        <v>0</v>
      </c>
    </row>
    <row r="95" spans="1:13" ht="18.75" customHeight="1">
      <c r="A95" s="49"/>
      <c r="B95" s="279" t="str">
        <f>'Languages France'!L189</f>
        <v>Exigibilité de la Tva</v>
      </c>
      <c r="C95" s="279"/>
      <c r="D95" s="225"/>
      <c r="E95" s="561" t="str">
        <f>'Languages France'!L190</f>
        <v xml:space="preserve">Sur les encaissements </v>
      </c>
      <c r="F95" s="562"/>
      <c r="G95" s="563"/>
      <c r="H95" s="219"/>
      <c r="I95" s="536" t="str">
        <f>'Languages France'!L191</f>
        <v xml:space="preserve">Sur les débits </v>
      </c>
      <c r="J95" s="537"/>
      <c r="K95" s="218"/>
      <c r="L95" s="204"/>
      <c r="M95" s="1" t="s">
        <v>0</v>
      </c>
    </row>
    <row r="96" spans="1:13" ht="35.1" customHeight="1">
      <c r="A96" s="49"/>
      <c r="B96" s="325" t="str">
        <f>'Languages France'!L192</f>
        <v>Facturation d’honoraires ? (oui /non)</v>
      </c>
      <c r="C96" s="325"/>
      <c r="D96" s="325"/>
      <c r="E96" s="325"/>
      <c r="F96" s="325"/>
      <c r="G96" s="325"/>
      <c r="H96" s="325"/>
      <c r="I96" s="374"/>
      <c r="J96" s="538" t="s">
        <v>1294</v>
      </c>
      <c r="K96" s="539"/>
      <c r="L96" s="204"/>
      <c r="M96" s="1" t="s">
        <v>0</v>
      </c>
    </row>
    <row r="97" spans="1:13" ht="35.1" customHeight="1">
      <c r="A97" s="122"/>
      <c r="B97" s="488" t="str">
        <f>'Languages France'!L193</f>
        <v>Acompte obligatoire ? (oui /non)</v>
      </c>
      <c r="C97" s="488"/>
      <c r="D97" s="353"/>
      <c r="E97" s="540" t="s">
        <v>1294</v>
      </c>
      <c r="F97" s="541"/>
      <c r="G97" s="542" t="str">
        <f>'Languages France'!L194</f>
        <v>% de la commande</v>
      </c>
      <c r="H97" s="543"/>
      <c r="I97" s="543"/>
      <c r="J97" s="544"/>
      <c r="K97" s="545"/>
      <c r="L97" s="215"/>
      <c r="M97" s="1" t="s">
        <v>0</v>
      </c>
    </row>
    <row r="98" spans="1:13" ht="35.1" customHeight="1">
      <c r="A98" s="528" t="str">
        <f>'Languages France'!L187</f>
        <v>Contact habilité à fournir l’attestation de fourniture de déclaration sociale, dite de vigilance et la liste nominative des salariés étrangers soumis à autorisation de travail (en application de l’article L-8222-1 du code du travail)</v>
      </c>
      <c r="B98" s="529"/>
      <c r="C98" s="529"/>
      <c r="D98" s="529"/>
      <c r="E98" s="529"/>
      <c r="F98" s="229" t="str">
        <f>'Languages France'!L197</f>
        <v>Nom</v>
      </c>
      <c r="G98" s="526"/>
      <c r="H98" s="527"/>
      <c r="I98" s="527"/>
      <c r="J98" s="527"/>
      <c r="K98" s="527"/>
      <c r="L98" s="226"/>
      <c r="M98" s="1" t="s">
        <v>0</v>
      </c>
    </row>
    <row r="99" spans="1:13" ht="35.1" customHeight="1">
      <c r="A99" s="530"/>
      <c r="B99" s="325"/>
      <c r="C99" s="325"/>
      <c r="D99" s="325"/>
      <c r="E99" s="325"/>
      <c r="F99" s="230" t="s">
        <v>878</v>
      </c>
      <c r="G99" s="473"/>
      <c r="H99" s="474"/>
      <c r="I99" s="474"/>
      <c r="J99" s="474"/>
      <c r="K99" s="474"/>
      <c r="L99" s="227"/>
      <c r="M99" s="1" t="s">
        <v>0</v>
      </c>
    </row>
    <row r="100" spans="1:13" ht="79.5" customHeight="1">
      <c r="A100" s="534" t="str">
        <f>'Languages France'!L195</f>
        <v xml:space="preserve">Cette fiche doit être retournée avec 
     -  un K-BIS daté de moins de 3 mois
     -  un RIB original complet, en format PDF s’il est transmis par mail. 
Le titulaire du compte bancaire doit obligatoirement correspondre à l’établissement facturant sauf en cas de recours à une société d’affacturage (les informations concernant le factor devront être fournies de manière précise).
</v>
      </c>
      <c r="B100" s="535"/>
      <c r="C100" s="535"/>
      <c r="D100" s="535"/>
      <c r="E100" s="535"/>
      <c r="F100" s="535"/>
      <c r="G100" s="535"/>
      <c r="H100" s="535"/>
      <c r="I100" s="535"/>
      <c r="J100" s="535"/>
      <c r="K100" s="535"/>
      <c r="L100" s="228"/>
      <c r="M100" s="1" t="s">
        <v>0</v>
      </c>
    </row>
    <row r="101" spans="1:13" ht="35.1" customHeight="1">
      <c r="A101" s="49" t="s">
        <v>0</v>
      </c>
      <c r="B101" s="281" t="str">
        <f>'Languages France'!L84</f>
        <v>Nom du titulaire du compte bancaire</v>
      </c>
      <c r="C101" s="281"/>
      <c r="D101" s="281"/>
      <c r="E101" s="281"/>
      <c r="F101" s="282"/>
      <c r="G101" s="321" t="str">
        <f>IF(G46&gt;"",G46,"")</f>
        <v/>
      </c>
      <c r="H101" s="322"/>
      <c r="I101" s="322"/>
      <c r="J101" s="322"/>
      <c r="K101" s="322"/>
      <c r="L101" s="323"/>
      <c r="M101" s="1" t="str">
        <f t="shared" ref="M101:M110" si="7">A101</f>
        <v>*</v>
      </c>
    </row>
    <row r="102" spans="1:13" ht="44.1" customHeight="1">
      <c r="A102" s="49" t="str">
        <f>IF(B102&gt;"","*","")</f>
        <v/>
      </c>
      <c r="B102" s="448" t="str">
        <f>IF(OR(E12='Languages France'!L116,E12='Languages France'!L117),'Languages France'!L80,"")</f>
        <v/>
      </c>
      <c r="C102" s="448"/>
      <c r="D102" s="448"/>
      <c r="E102" s="448"/>
      <c r="F102" s="449"/>
      <c r="G102" s="443"/>
      <c r="H102" s="444"/>
      <c r="I102" s="444"/>
      <c r="J102" s="444"/>
      <c r="K102" s="444"/>
      <c r="L102" s="445"/>
      <c r="M102" s="1" t="str">
        <f t="shared" si="7"/>
        <v/>
      </c>
    </row>
    <row r="103" spans="1:13" ht="21.6" customHeight="1">
      <c r="A103" s="49" t="str">
        <f>IF(B103&gt;"","*","")</f>
        <v>*</v>
      </c>
      <c r="B103" s="281" t="str">
        <f>'Languages France'!L81</f>
        <v>Devise de la facture</v>
      </c>
      <c r="C103" s="281"/>
      <c r="D103" s="281"/>
      <c r="E103" s="281"/>
      <c r="F103" s="282"/>
      <c r="G103" s="334" t="s">
        <v>6</v>
      </c>
      <c r="H103" s="335"/>
      <c r="I103" s="335"/>
      <c r="J103" s="335"/>
      <c r="K103" s="335"/>
      <c r="L103" s="46"/>
      <c r="M103" s="1" t="str">
        <f t="shared" si="7"/>
        <v>*</v>
      </c>
    </row>
    <row r="104" spans="1:13" ht="30" customHeight="1">
      <c r="A104" s="49" t="str">
        <f>IF(B104&gt;"","*","")</f>
        <v>*</v>
      </c>
      <c r="B104" s="279" t="str">
        <f>'Languages France'!L85</f>
        <v>Nom de la banque</v>
      </c>
      <c r="C104" s="280"/>
      <c r="D104" s="346"/>
      <c r="E104" s="347"/>
      <c r="F104" s="347"/>
      <c r="G104" s="347"/>
      <c r="H104" s="347"/>
      <c r="I104" s="347"/>
      <c r="J104" s="347"/>
      <c r="K104" s="347"/>
      <c r="L104" s="348"/>
      <c r="M104" s="1" t="str">
        <f t="shared" si="7"/>
        <v>*</v>
      </c>
    </row>
    <row r="105" spans="1:13" ht="30" customHeight="1">
      <c r="A105" s="49"/>
      <c r="B105" s="279" t="str">
        <f>'Languages France'!L86</f>
        <v>Nom de la succursale</v>
      </c>
      <c r="C105" s="280"/>
      <c r="D105" s="346"/>
      <c r="E105" s="347"/>
      <c r="F105" s="347"/>
      <c r="G105" s="347"/>
      <c r="H105" s="347"/>
      <c r="I105" s="347"/>
      <c r="J105" s="347"/>
      <c r="K105" s="347"/>
      <c r="L105" s="348"/>
      <c r="M105" s="1" t="s">
        <v>0</v>
      </c>
    </row>
    <row r="106" spans="1:13" s="2" customFormat="1" ht="30" customHeight="1">
      <c r="A106" s="49" t="str">
        <f t="shared" ref="A106:A108" si="8">IF(B106&gt;"","*","")</f>
        <v>*</v>
      </c>
      <c r="B106" s="279" t="str">
        <f>'Languages France'!L87</f>
        <v>Pays de la banque (choisir un pays)</v>
      </c>
      <c r="C106" s="279"/>
      <c r="D106" s="279"/>
      <c r="E106" s="279"/>
      <c r="F106" s="279"/>
      <c r="G106" s="279"/>
      <c r="H106" s="280"/>
      <c r="I106" s="451" t="s">
        <v>12</v>
      </c>
      <c r="J106" s="452"/>
      <c r="K106" s="452"/>
      <c r="L106" s="45"/>
      <c r="M106" s="2" t="str">
        <f t="shared" si="7"/>
        <v>*</v>
      </c>
    </row>
    <row r="107" spans="1:13" s="2" customFormat="1" ht="30" customHeight="1">
      <c r="A107" s="49" t="str">
        <f t="shared" si="8"/>
        <v>*</v>
      </c>
      <c r="B107" s="281" t="str">
        <f>'Languages France'!L88</f>
        <v>Numéro de compte bancaire</v>
      </c>
      <c r="C107" s="282"/>
      <c r="D107" s="346"/>
      <c r="E107" s="347"/>
      <c r="F107" s="347"/>
      <c r="G107" s="347"/>
      <c r="H107" s="347"/>
      <c r="I107" s="347"/>
      <c r="J107" s="347"/>
      <c r="K107" s="347"/>
      <c r="L107" s="348"/>
      <c r="M107" s="2" t="str">
        <f t="shared" si="7"/>
        <v>*</v>
      </c>
    </row>
    <row r="108" spans="1:13" s="2" customFormat="1" ht="30" customHeight="1">
      <c r="A108" s="49" t="str">
        <f t="shared" si="8"/>
        <v>*</v>
      </c>
      <c r="B108" s="281" t="str">
        <f>'Languages France'!L89</f>
        <v>Code banque</v>
      </c>
      <c r="C108" s="282"/>
      <c r="D108" s="346"/>
      <c r="E108" s="347"/>
      <c r="F108" s="347"/>
      <c r="G108" s="347"/>
      <c r="H108" s="347"/>
      <c r="I108" s="347"/>
      <c r="J108" s="347"/>
      <c r="K108" s="347"/>
      <c r="L108" s="348"/>
      <c r="M108" s="2" t="str">
        <f t="shared" si="7"/>
        <v>*</v>
      </c>
    </row>
    <row r="109" spans="1:13" ht="30" customHeight="1">
      <c r="A109" s="49" t="str">
        <f>IF(B109&gt;"","*","")</f>
        <v>*</v>
      </c>
      <c r="B109" s="281" t="str">
        <f>'Languages France'!L90</f>
        <v>Code guichet/agence</v>
      </c>
      <c r="C109" s="282"/>
      <c r="D109" s="346"/>
      <c r="E109" s="347"/>
      <c r="F109" s="347"/>
      <c r="G109" s="347"/>
      <c r="H109" s="347"/>
      <c r="I109" s="347"/>
      <c r="J109" s="347"/>
      <c r="K109" s="347"/>
      <c r="L109" s="348"/>
      <c r="M109" s="175" t="str">
        <f t="shared" si="7"/>
        <v>*</v>
      </c>
    </row>
    <row r="110" spans="1:13" ht="30" customHeight="1">
      <c r="A110" s="49" t="str">
        <f>IF(B110&gt;"","*","")</f>
        <v>*</v>
      </c>
      <c r="B110" s="281" t="str">
        <f>'Languages France'!L92</f>
        <v>Numéro IBAN</v>
      </c>
      <c r="C110" s="282"/>
      <c r="D110" s="346"/>
      <c r="E110" s="347"/>
      <c r="F110" s="347"/>
      <c r="G110" s="347"/>
      <c r="H110" s="347"/>
      <c r="I110" s="347"/>
      <c r="J110" s="347"/>
      <c r="K110" s="347"/>
      <c r="L110" s="348"/>
      <c r="M110" s="1" t="str">
        <f t="shared" si="7"/>
        <v>*</v>
      </c>
    </row>
    <row r="111" spans="1:13" ht="30" customHeight="1">
      <c r="A111" s="49"/>
      <c r="B111" s="281" t="str">
        <f>'Languages France'!L93</f>
        <v>Code BIC / SWIFT</v>
      </c>
      <c r="C111" s="282"/>
      <c r="D111" s="346"/>
      <c r="E111" s="347"/>
      <c r="F111" s="347"/>
      <c r="G111" s="347"/>
      <c r="H111" s="347"/>
      <c r="I111" s="347"/>
      <c r="J111" s="347"/>
      <c r="K111" s="347"/>
      <c r="L111" s="348"/>
      <c r="M111" s="1" t="s">
        <v>0</v>
      </c>
    </row>
    <row r="112" spans="1:13" ht="30" customHeight="1">
      <c r="A112" s="49" t="s">
        <v>0</v>
      </c>
      <c r="B112" s="512" t="str">
        <f>'Languages France'!L61</f>
        <v>Adresse Email du fournisseur pour les avis de paiement</v>
      </c>
      <c r="C112" s="512"/>
      <c r="D112" s="512"/>
      <c r="E112" s="512"/>
      <c r="F112" s="513"/>
      <c r="G112" s="285"/>
      <c r="H112" s="286"/>
      <c r="I112" s="286"/>
      <c r="J112" s="286"/>
      <c r="K112" s="286"/>
      <c r="L112" s="305"/>
      <c r="M112" s="1" t="str">
        <f>A112</f>
        <v>*</v>
      </c>
    </row>
    <row r="113" spans="1:13" customFormat="1" ht="84" customHeight="1">
      <c r="A113" s="426" t="str">
        <f>'Languages France'!L100</f>
        <v>JE CERTIFIE PAR LA PRÉSENTE QUE LES INFORMATIONS FOURNIES DANS CE DOCUMENT SONT, A MA CONNAISSANCE, COMPLÈTES ET FACTUELLES . *
Le fournisseur comprend que LexisNexis Accounts Payable gère de manière confidentielle une plate-forme de fournisseur mondiale, par conséquent les informations fournies sur ce formulaire peuvent être utilisées pour les paiements dus au fournisseur de l'une des sociétés internationales RELX.</v>
      </c>
      <c r="B113" s="426"/>
      <c r="C113" s="426"/>
      <c r="D113" s="426"/>
      <c r="E113" s="426"/>
      <c r="F113" s="426"/>
      <c r="G113" s="426"/>
      <c r="H113" s="426"/>
      <c r="I113" s="426"/>
      <c r="J113" s="426"/>
      <c r="K113" s="426"/>
      <c r="L113" s="426"/>
      <c r="M113" t="s">
        <v>0</v>
      </c>
    </row>
    <row r="114" spans="1:13" ht="30" customHeight="1">
      <c r="A114" s="49" t="s">
        <v>0</v>
      </c>
      <c r="B114" s="279" t="str">
        <f>'Languages France'!L101</f>
        <v>Date</v>
      </c>
      <c r="C114" s="280"/>
      <c r="D114" s="420"/>
      <c r="E114" s="421"/>
      <c r="F114" s="421"/>
      <c r="G114" s="421"/>
      <c r="H114" s="421"/>
      <c r="I114" s="421"/>
      <c r="J114" s="421"/>
      <c r="K114" s="421"/>
      <c r="L114" s="422"/>
      <c r="M114" s="1" t="str">
        <f>A114</f>
        <v>*</v>
      </c>
    </row>
    <row r="115" spans="1:13" ht="30" customHeight="1">
      <c r="A115" s="49" t="s">
        <v>0</v>
      </c>
      <c r="B115" s="279" t="str">
        <f>'Languages France'!L102</f>
        <v>Nom</v>
      </c>
      <c r="C115" s="280"/>
      <c r="D115" s="346"/>
      <c r="E115" s="347"/>
      <c r="F115" s="347"/>
      <c r="G115" s="347"/>
      <c r="H115" s="347"/>
      <c r="I115" s="347"/>
      <c r="J115" s="347"/>
      <c r="K115" s="347"/>
      <c r="L115" s="348"/>
      <c r="M115" s="1" t="str">
        <f>A115</f>
        <v>*</v>
      </c>
    </row>
    <row r="116" spans="1:13" ht="30" customHeight="1">
      <c r="A116" s="49" t="s">
        <v>0</v>
      </c>
      <c r="B116" s="279" t="str">
        <f>'Languages France'!L103</f>
        <v>Fonction</v>
      </c>
      <c r="C116" s="280"/>
      <c r="D116" s="346"/>
      <c r="E116" s="347"/>
      <c r="F116" s="347"/>
      <c r="G116" s="347"/>
      <c r="H116" s="347"/>
      <c r="I116" s="347"/>
      <c r="J116" s="347"/>
      <c r="K116" s="347"/>
      <c r="L116" s="348"/>
      <c r="M116" s="1" t="str">
        <f>A116</f>
        <v>*</v>
      </c>
    </row>
    <row r="117" spans="1:13" ht="30" customHeight="1">
      <c r="A117" s="49" t="s">
        <v>0</v>
      </c>
      <c r="B117" s="279" t="str">
        <f>'Languages France'!L104</f>
        <v>Signature</v>
      </c>
      <c r="C117" s="280"/>
      <c r="D117" s="261"/>
      <c r="E117" s="262"/>
      <c r="F117" s="262"/>
      <c r="G117" s="262"/>
      <c r="H117" s="262"/>
      <c r="I117" s="262"/>
      <c r="J117" s="262"/>
      <c r="K117" s="262"/>
      <c r="L117" s="174"/>
      <c r="M117" s="1" t="str">
        <f>A117</f>
        <v>*</v>
      </c>
    </row>
    <row r="118" spans="1:13" ht="30" customHeight="1">
      <c r="A118" s="49" t="s">
        <v>0</v>
      </c>
      <c r="B118" s="279" t="str">
        <f>'Languages France'!L283</f>
        <v>Adresse e-mail</v>
      </c>
      <c r="C118" s="280"/>
      <c r="D118" s="346"/>
      <c r="E118" s="347"/>
      <c r="F118" s="347"/>
      <c r="G118" s="347"/>
      <c r="H118" s="347"/>
      <c r="I118" s="347"/>
      <c r="J118" s="347"/>
      <c r="K118" s="347"/>
      <c r="L118" s="348"/>
      <c r="M118" s="1" t="s">
        <v>0</v>
      </c>
    </row>
    <row r="119" spans="1:13" s="2" customFormat="1" ht="23.4" customHeight="1" thickBot="1">
      <c r="A119" s="400" t="str">
        <f>'Languages France'!L96</f>
        <v>SOUMISSION DU FORMULAIRE</v>
      </c>
      <c r="B119" s="401"/>
      <c r="C119" s="401"/>
      <c r="D119" s="401"/>
      <c r="E119" s="401"/>
      <c r="F119" s="401"/>
      <c r="G119" s="401"/>
      <c r="H119" s="401"/>
      <c r="I119" s="401"/>
      <c r="J119" s="401"/>
      <c r="K119" s="401"/>
      <c r="L119" s="402"/>
      <c r="M119" s="2" t="s">
        <v>0</v>
      </c>
    </row>
    <row r="120" spans="1:13" s="119" customFormat="1" ht="66" customHeight="1">
      <c r="A120" s="273"/>
      <c r="B120" s="579" t="str">
        <f>'Languages France'!L105</f>
        <v>CE FORMULAIRE DOIT ÊTRE FOURNI AU SERVICE DES COMPTES FOURNISSEURS AU FORMAT PDF.
Sélectionnez « Enregistrer sous » et choisissez un type d'enregistrement PDF ou « Imprimer » et sélectionnez « Imprimer au format PDF Microsoft ».</v>
      </c>
      <c r="C120" s="579"/>
      <c r="D120" s="579"/>
      <c r="E120" s="579"/>
      <c r="F120" s="579"/>
      <c r="G120" s="579"/>
      <c r="H120" s="579"/>
      <c r="I120" s="579"/>
      <c r="J120" s="579"/>
      <c r="K120" s="579"/>
      <c r="L120" s="274"/>
      <c r="M120" s="2" t="s">
        <v>0</v>
      </c>
    </row>
    <row r="121" spans="1:13" ht="69" customHeight="1" thickBot="1">
      <c r="A121" s="275"/>
      <c r="B121" s="413" t="str">
        <f>'Languages France'!L106</f>
        <v>ENVOYER UNE COPIE PDF REMPLIE PAR COURRIEL DE CE FORMULAIRE ET DE TOUTE AUTRE DOCUMENTATION PERTINENTE À:</v>
      </c>
      <c r="C121" s="413"/>
      <c r="D121" s="413"/>
      <c r="E121" s="413"/>
      <c r="F121" s="580" t="s">
        <v>2089</v>
      </c>
      <c r="G121" s="435"/>
      <c r="H121" s="435"/>
      <c r="I121" s="435"/>
      <c r="J121" s="435"/>
      <c r="K121" s="435"/>
      <c r="L121" s="276"/>
      <c r="M121" s="2" t="s">
        <v>0</v>
      </c>
    </row>
    <row r="122" spans="1:13" ht="25.5" customHeight="1" thickBot="1">
      <c r="A122" s="461" t="str">
        <f>'Languages France'!L42</f>
        <v>UTILISATION P2P (INTERNE) UNIQUEMENT</v>
      </c>
      <c r="B122" s="462"/>
      <c r="C122" s="462"/>
      <c r="D122" s="462"/>
      <c r="E122" s="462"/>
      <c r="F122" s="462"/>
      <c r="G122" s="462"/>
      <c r="H122" s="462"/>
      <c r="I122" s="462"/>
      <c r="J122" s="462"/>
      <c r="K122" s="462"/>
      <c r="L122" s="463"/>
      <c r="M122" s="1" t="s">
        <v>0</v>
      </c>
    </row>
    <row r="123" spans="1:13">
      <c r="A123" s="158"/>
      <c r="B123" s="405" t="s">
        <v>33</v>
      </c>
      <c r="C123" s="405"/>
      <c r="D123" s="405"/>
      <c r="E123" s="405"/>
      <c r="F123" s="430" t="str">
        <f>IF(E18&gt;"",E18,"")</f>
        <v/>
      </c>
      <c r="G123" s="430"/>
      <c r="H123" s="430"/>
      <c r="I123" s="430"/>
      <c r="J123" s="430"/>
      <c r="K123" s="430"/>
      <c r="L123" s="159"/>
      <c r="M123" s="1" t="s">
        <v>0</v>
      </c>
    </row>
    <row r="124" spans="1:13">
      <c r="A124" s="126"/>
      <c r="B124" s="406" t="s">
        <v>34</v>
      </c>
      <c r="C124" s="406"/>
      <c r="D124" s="406"/>
      <c r="E124" s="406"/>
      <c r="F124" s="399" t="str">
        <f>IF(E9='Languages France'!L107,"",E9)</f>
        <v/>
      </c>
      <c r="G124" s="399"/>
      <c r="H124" s="399"/>
      <c r="I124" s="399"/>
      <c r="J124" s="399"/>
      <c r="K124" s="399"/>
      <c r="L124" s="91"/>
      <c r="M124" s="1" t="s">
        <v>0</v>
      </c>
    </row>
    <row r="125" spans="1:13">
      <c r="A125" s="126"/>
      <c r="B125" s="406" t="s">
        <v>35</v>
      </c>
      <c r="C125" s="406"/>
      <c r="D125" s="406"/>
      <c r="E125" s="406"/>
      <c r="F125" s="399" t="str">
        <f>IF(ledger1&lt;&gt;"Select One…",ledger1,"")</f>
        <v/>
      </c>
      <c r="G125" s="399"/>
      <c r="H125" s="399"/>
      <c r="I125" s="399"/>
      <c r="J125" s="399"/>
      <c r="K125" s="399"/>
      <c r="L125" s="91"/>
      <c r="M125" s="1" t="s">
        <v>0</v>
      </c>
    </row>
    <row r="126" spans="1:13">
      <c r="A126" s="126"/>
      <c r="B126" s="406" t="s">
        <v>36</v>
      </c>
      <c r="C126" s="406"/>
      <c r="D126" s="406"/>
      <c r="E126" s="406"/>
      <c r="F126" s="399" t="str">
        <f>IF('VM Team Conditions'!E1&gt;"",'VM Team Conditions'!E1,"")</f>
        <v/>
      </c>
      <c r="G126" s="399"/>
      <c r="H126" s="399"/>
      <c r="I126" s="399"/>
      <c r="J126" s="399"/>
      <c r="K126" s="399"/>
      <c r="L126" s="91"/>
      <c r="M126" s="1" t="s">
        <v>0</v>
      </c>
    </row>
    <row r="127" spans="1:13">
      <c r="A127" s="126"/>
      <c r="B127" s="406" t="s">
        <v>2090</v>
      </c>
      <c r="C127" s="406"/>
      <c r="D127" s="406"/>
      <c r="E127" s="406"/>
      <c r="F127" s="399" t="str">
        <f>IF('VM Team Conditions'!F1&gt;"",'VM Team Conditions'!F1,"")</f>
        <v>Net 30</v>
      </c>
      <c r="G127" s="399"/>
      <c r="H127" s="399"/>
      <c r="I127" s="399"/>
      <c r="J127" s="399"/>
      <c r="K127" s="399"/>
      <c r="L127" s="91"/>
      <c r="M127" s="1" t="s">
        <v>0</v>
      </c>
    </row>
    <row r="128" spans="1:13" ht="35.25" customHeight="1">
      <c r="A128" s="128"/>
      <c r="B128" s="403" t="s">
        <v>2091</v>
      </c>
      <c r="C128" s="403"/>
      <c r="D128" s="403"/>
      <c r="E128" s="403"/>
      <c r="F128" s="398" t="s">
        <v>2092</v>
      </c>
      <c r="G128" s="398"/>
      <c r="H128" s="398"/>
      <c r="I128" s="398"/>
      <c r="J128" s="398"/>
      <c r="K128" s="398"/>
      <c r="L128" s="93"/>
      <c r="M128" s="1" t="s">
        <v>0</v>
      </c>
    </row>
  </sheetData>
  <sheetProtection algorithmName="SHA-512" hashValue="qCAUm/RYXAcw22kasgBGH5IJSzjWDAVjLtFf+i264sLSkqZHMiwHJ3nw5y2bbJh5JLne64MPjeZLTm16Jb8aPw==" saltValue="qqu6KCmCQNhsciBY47RTNg==" spinCount="100000" sheet="1" objects="1" scenarios="1"/>
  <mergeCells count="233">
    <mergeCell ref="C50:L50"/>
    <mergeCell ref="B120:K120"/>
    <mergeCell ref="B121:E121"/>
    <mergeCell ref="F121:K121"/>
    <mergeCell ref="B118:C118"/>
    <mergeCell ref="D118:L118"/>
    <mergeCell ref="A119:L119"/>
    <mergeCell ref="B114:C114"/>
    <mergeCell ref="D114:L114"/>
    <mergeCell ref="B115:C115"/>
    <mergeCell ref="D115:L115"/>
    <mergeCell ref="B116:C116"/>
    <mergeCell ref="D116:L116"/>
    <mergeCell ref="A113:L113"/>
    <mergeCell ref="B110:C110"/>
    <mergeCell ref="D110:L110"/>
    <mergeCell ref="B111:C111"/>
    <mergeCell ref="D111:L111"/>
    <mergeCell ref="B108:C108"/>
    <mergeCell ref="D108:L108"/>
    <mergeCell ref="B109:C109"/>
    <mergeCell ref="D109:L109"/>
    <mergeCell ref="B112:F112"/>
    <mergeCell ref="G112:L112"/>
    <mergeCell ref="B128:E128"/>
    <mergeCell ref="F128:K128"/>
    <mergeCell ref="B125:E125"/>
    <mergeCell ref="F125:K125"/>
    <mergeCell ref="B126:E126"/>
    <mergeCell ref="F126:K126"/>
    <mergeCell ref="B127:E127"/>
    <mergeCell ref="F127:K127"/>
    <mergeCell ref="A122:L122"/>
    <mergeCell ref="B123:E123"/>
    <mergeCell ref="F123:K123"/>
    <mergeCell ref="B124:E124"/>
    <mergeCell ref="F124:K124"/>
    <mergeCell ref="B106:H106"/>
    <mergeCell ref="I106:K106"/>
    <mergeCell ref="B107:C107"/>
    <mergeCell ref="D107:L107"/>
    <mergeCell ref="B102:F102"/>
    <mergeCell ref="G102:L102"/>
    <mergeCell ref="B103:F103"/>
    <mergeCell ref="G103:K103"/>
    <mergeCell ref="B104:C104"/>
    <mergeCell ref="D104:L104"/>
    <mergeCell ref="B105:C105"/>
    <mergeCell ref="D105:L105"/>
    <mergeCell ref="B101:F101"/>
    <mergeCell ref="G101:L101"/>
    <mergeCell ref="B70:F70"/>
    <mergeCell ref="G70:L70"/>
    <mergeCell ref="G78:L78"/>
    <mergeCell ref="B75:F75"/>
    <mergeCell ref="G75:L75"/>
    <mergeCell ref="B76:F76"/>
    <mergeCell ref="G76:L76"/>
    <mergeCell ref="B77:F77"/>
    <mergeCell ref="G77:L77"/>
    <mergeCell ref="B71:K71"/>
    <mergeCell ref="B72:F72"/>
    <mergeCell ref="G72:K72"/>
    <mergeCell ref="B73:F73"/>
    <mergeCell ref="G73:L73"/>
    <mergeCell ref="B74:F74"/>
    <mergeCell ref="B93:B94"/>
    <mergeCell ref="E94:K94"/>
    <mergeCell ref="B78:E80"/>
    <mergeCell ref="B81:E83"/>
    <mergeCell ref="G81:L81"/>
    <mergeCell ref="B84:F84"/>
    <mergeCell ref="B85:F85"/>
    <mergeCell ref="G82:L82"/>
    <mergeCell ref="G83:L83"/>
    <mergeCell ref="G74:L74"/>
    <mergeCell ref="G93:H93"/>
    <mergeCell ref="E95:G95"/>
    <mergeCell ref="G84:L84"/>
    <mergeCell ref="G66:L66"/>
    <mergeCell ref="B89:F89"/>
    <mergeCell ref="B90:F90"/>
    <mergeCell ref="B91:F91"/>
    <mergeCell ref="B92:F92"/>
    <mergeCell ref="G90:L90"/>
    <mergeCell ref="G91:L91"/>
    <mergeCell ref="G92:L92"/>
    <mergeCell ref="B86:F86"/>
    <mergeCell ref="B87:F87"/>
    <mergeCell ref="B88:F88"/>
    <mergeCell ref="G88:K88"/>
    <mergeCell ref="B68:F68"/>
    <mergeCell ref="G68:L68"/>
    <mergeCell ref="B62:F62"/>
    <mergeCell ref="G62:H62"/>
    <mergeCell ref="I62:L62"/>
    <mergeCell ref="B64:F64"/>
    <mergeCell ref="G64:K64"/>
    <mergeCell ref="B63:K63"/>
    <mergeCell ref="B65:F65"/>
    <mergeCell ref="G65:L65"/>
    <mergeCell ref="B66:F66"/>
    <mergeCell ref="B45:H45"/>
    <mergeCell ref="J45:K45"/>
    <mergeCell ref="B46:F46"/>
    <mergeCell ref="G46:L46"/>
    <mergeCell ref="B40:D40"/>
    <mergeCell ref="E40:L40"/>
    <mergeCell ref="B41:K41"/>
    <mergeCell ref="A42:L42"/>
    <mergeCell ref="B43:K43"/>
    <mergeCell ref="B44:J44"/>
    <mergeCell ref="B31:H31"/>
    <mergeCell ref="I31:K31"/>
    <mergeCell ref="B39:J39"/>
    <mergeCell ref="B23:I23"/>
    <mergeCell ref="J23:K23"/>
    <mergeCell ref="B24:D24"/>
    <mergeCell ref="E24:L24"/>
    <mergeCell ref="B29:I29"/>
    <mergeCell ref="J29:K29"/>
    <mergeCell ref="B36:E38"/>
    <mergeCell ref="G36:L36"/>
    <mergeCell ref="G37:L37"/>
    <mergeCell ref="G38:L38"/>
    <mergeCell ref="B32:H32"/>
    <mergeCell ref="I32:K32"/>
    <mergeCell ref="B33:H33"/>
    <mergeCell ref="I33:K33"/>
    <mergeCell ref="B34:H34"/>
    <mergeCell ref="I34:K34"/>
    <mergeCell ref="B35:H35"/>
    <mergeCell ref="I35:K35"/>
    <mergeCell ref="B20:D20"/>
    <mergeCell ref="E20:K20"/>
    <mergeCell ref="B21:I21"/>
    <mergeCell ref="J21:K21"/>
    <mergeCell ref="B22:D22"/>
    <mergeCell ref="E22:K22"/>
    <mergeCell ref="B19:D19"/>
    <mergeCell ref="E19:L19"/>
    <mergeCell ref="B30:K30"/>
    <mergeCell ref="B25:G25"/>
    <mergeCell ref="B26:I26"/>
    <mergeCell ref="B27:I27"/>
    <mergeCell ref="B28:I28"/>
    <mergeCell ref="J26:K26"/>
    <mergeCell ref="J27:K27"/>
    <mergeCell ref="J28:K28"/>
    <mergeCell ref="H25:K25"/>
    <mergeCell ref="B17:C17"/>
    <mergeCell ref="B15:D15"/>
    <mergeCell ref="E15:K15"/>
    <mergeCell ref="B12:D12"/>
    <mergeCell ref="E12:K12"/>
    <mergeCell ref="B13:D13"/>
    <mergeCell ref="E13:L13"/>
    <mergeCell ref="B14:D14"/>
    <mergeCell ref="E14:K14"/>
    <mergeCell ref="B16:D16"/>
    <mergeCell ref="E16:K16"/>
    <mergeCell ref="A1:L1"/>
    <mergeCell ref="A2:L2"/>
    <mergeCell ref="A3:K3"/>
    <mergeCell ref="B4:D4"/>
    <mergeCell ref="E4:K4"/>
    <mergeCell ref="B5:K5"/>
    <mergeCell ref="N77:S77"/>
    <mergeCell ref="A10:A11"/>
    <mergeCell ref="B10:D10"/>
    <mergeCell ref="E10:H10"/>
    <mergeCell ref="I10:L10"/>
    <mergeCell ref="B11:D11"/>
    <mergeCell ref="E11:H11"/>
    <mergeCell ref="I11:L11"/>
    <mergeCell ref="A6:L6"/>
    <mergeCell ref="B7:H7"/>
    <mergeCell ref="J7:K7"/>
    <mergeCell ref="B8:D8"/>
    <mergeCell ref="E8:L8"/>
    <mergeCell ref="B9:D9"/>
    <mergeCell ref="E9:K9"/>
    <mergeCell ref="B18:D18"/>
    <mergeCell ref="E18:L18"/>
    <mergeCell ref="D17:K17"/>
    <mergeCell ref="G57:L57"/>
    <mergeCell ref="A100:K100"/>
    <mergeCell ref="G99:K99"/>
    <mergeCell ref="B95:C95"/>
    <mergeCell ref="I95:J95"/>
    <mergeCell ref="B96:I96"/>
    <mergeCell ref="J96:K96"/>
    <mergeCell ref="B97:D97"/>
    <mergeCell ref="E97:F97"/>
    <mergeCell ref="G97:I97"/>
    <mergeCell ref="J97:K97"/>
    <mergeCell ref="B59:F59"/>
    <mergeCell ref="G59:L59"/>
    <mergeCell ref="B58:F58"/>
    <mergeCell ref="G58:L58"/>
    <mergeCell ref="B60:F60"/>
    <mergeCell ref="G60:L60"/>
    <mergeCell ref="B61:K61"/>
    <mergeCell ref="G79:L79"/>
    <mergeCell ref="G80:L80"/>
    <mergeCell ref="B69:F69"/>
    <mergeCell ref="G69:L69"/>
    <mergeCell ref="B67:F67"/>
    <mergeCell ref="G67:L67"/>
    <mergeCell ref="B117:C117"/>
    <mergeCell ref="B47:F47"/>
    <mergeCell ref="B48:F48"/>
    <mergeCell ref="G47:K47"/>
    <mergeCell ref="G48:K48"/>
    <mergeCell ref="B49:K49"/>
    <mergeCell ref="G98:K98"/>
    <mergeCell ref="A98:E99"/>
    <mergeCell ref="B54:F54"/>
    <mergeCell ref="G54:L54"/>
    <mergeCell ref="B55:F55"/>
    <mergeCell ref="G55:L55"/>
    <mergeCell ref="B56:F56"/>
    <mergeCell ref="G56:L56"/>
    <mergeCell ref="B53:F53"/>
    <mergeCell ref="G53:K53"/>
    <mergeCell ref="B52:F52"/>
    <mergeCell ref="G52:K52"/>
    <mergeCell ref="B51:K51"/>
    <mergeCell ref="G85:L85"/>
    <mergeCell ref="G86:L86"/>
    <mergeCell ref="G87:L87"/>
    <mergeCell ref="G89:L89"/>
    <mergeCell ref="B57:F57"/>
  </mergeCells>
  <conditionalFormatting sqref="A114:F116">
    <cfRule type="expression" dxfId="89" priority="78">
      <formula>#REF!="YES"</formula>
    </cfRule>
  </conditionalFormatting>
  <conditionalFormatting sqref="A10:K11">
    <cfRule type="expression" dxfId="88" priority="49">
      <formula>$A$10&lt;&gt;"*"</formula>
    </cfRule>
  </conditionalFormatting>
  <conditionalFormatting sqref="A13:K13">
    <cfRule type="expression" dxfId="87" priority="47">
      <formula>$A$13&lt;&gt;"*"</formula>
    </cfRule>
  </conditionalFormatting>
  <conditionalFormatting sqref="A40:K40">
    <cfRule type="expression" dxfId="86" priority="66">
      <formula>$A$40&lt;&gt;"*"</formula>
    </cfRule>
  </conditionalFormatting>
  <conditionalFormatting sqref="A102:K102">
    <cfRule type="expression" dxfId="85" priority="114">
      <formula>$A$102&lt;&gt;"*"</formula>
    </cfRule>
  </conditionalFormatting>
  <conditionalFormatting sqref="A12:L12">
    <cfRule type="expression" dxfId="84" priority="48">
      <formula>$A$12&lt;&gt;"*"</formula>
    </cfRule>
  </conditionalFormatting>
  <conditionalFormatting sqref="A21:L21">
    <cfRule type="expression" dxfId="83" priority="13">
      <formula>$A$21&lt;&gt;"*"</formula>
    </cfRule>
  </conditionalFormatting>
  <conditionalFormatting sqref="A22:L22">
    <cfRule type="expression" dxfId="82" priority="30">
      <formula>$A$22&lt;&gt;"*"</formula>
    </cfRule>
  </conditionalFormatting>
  <conditionalFormatting sqref="A23:L23">
    <cfRule type="expression" dxfId="81" priority="29">
      <formula>$A$23&lt;&gt;"*"</formula>
    </cfRule>
  </conditionalFormatting>
  <conditionalFormatting sqref="A24:L24">
    <cfRule type="expression" dxfId="80" priority="98">
      <formula>$A$24&lt;&gt;"*"</formula>
    </cfRule>
  </conditionalFormatting>
  <conditionalFormatting sqref="A29:L29">
    <cfRule type="expression" dxfId="78" priority="46">
      <formula>$A$29&lt;&gt;"*"</formula>
    </cfRule>
  </conditionalFormatting>
  <conditionalFormatting sqref="A30:L30">
    <cfRule type="expression" dxfId="77" priority="50">
      <formula>$A$30&lt;&gt;"*"</formula>
    </cfRule>
  </conditionalFormatting>
  <conditionalFormatting sqref="A31:L31">
    <cfRule type="expression" dxfId="76" priority="45">
      <formula>$A$31&lt;&gt;"*"</formula>
    </cfRule>
  </conditionalFormatting>
  <conditionalFormatting sqref="A44:L44">
    <cfRule type="expression" dxfId="73" priority="32">
      <formula>$A$44="*"</formula>
    </cfRule>
  </conditionalFormatting>
  <conditionalFormatting sqref="A57:L57">
    <cfRule type="expression" dxfId="71" priority="33">
      <formula>$A$57&lt;&gt;"*"</formula>
    </cfRule>
  </conditionalFormatting>
  <conditionalFormatting sqref="A103:L103">
    <cfRule type="expression" dxfId="69" priority="24">
      <formula>$A$103&lt;&gt;"*"</formula>
    </cfRule>
  </conditionalFormatting>
  <conditionalFormatting sqref="A122:L127">
    <cfRule type="expression" dxfId="68" priority="134">
      <formula>$E$15="China"</formula>
    </cfRule>
  </conditionalFormatting>
  <conditionalFormatting sqref="A128:L128">
    <cfRule type="expression" dxfId="67" priority="11">
      <formula>OR($E$15="China",(AND($E$15="New Zealand",$G$53="New Zealand")))</formula>
    </cfRule>
  </conditionalFormatting>
  <conditionalFormatting sqref="B117 D117:F117 A117:A118">
    <cfRule type="expression" dxfId="66" priority="90">
      <formula>#REF!="YES"</formula>
    </cfRule>
  </conditionalFormatting>
  <conditionalFormatting sqref="B118:F118">
    <cfRule type="expression" dxfId="65" priority="89">
      <formula>#REF!="YES"</formula>
    </cfRule>
  </conditionalFormatting>
  <dataValidations count="1">
    <dataValidation type="list" allowBlank="1" showInputMessage="1" showErrorMessage="1" sqref="I106 G52:K53 G64:K64 G72:K72" xr:uid="{64BA26DF-9EA2-4CF5-93F6-B95B0231AEE2}">
      <formula1>countries</formula1>
    </dataValidation>
  </dataValidations>
  <hyperlinks>
    <hyperlink ref="K44" location="'Invoicing Requirements'!A2" display="Click" xr:uid="{5E66E806-4FF8-441A-BD07-EB769F865578}"/>
    <hyperlink ref="F121" r:id="rId1" xr:uid="{C6659378-1403-44DC-A661-3EE824126121}"/>
  </hyperlinks>
  <printOptions horizontalCentered="1"/>
  <pageMargins left="0.25" right="0.25" top="0.25" bottom="0.25" header="0.3" footer="0.3"/>
  <pageSetup paperSize="9" scale="90" orientation="portrait" r:id="rId2"/>
  <ignoredErrors>
    <ignoredError sqref="I95 G97" unlockedFormula="1"/>
    <ignoredError sqref="J93" numberStoredAsText="1"/>
  </ignoredErrors>
  <drawing r:id="rId3"/>
  <extLst>
    <ext xmlns:x14="http://schemas.microsoft.com/office/spreadsheetml/2009/9/main" uri="{78C0D931-6437-407d-A8EE-F0AAD7539E65}">
      <x14:conditionalFormattings>
        <x14:conditionalFormatting xmlns:xm="http://schemas.microsoft.com/office/excel/2006/main">
          <x14:cfRule type="expression" priority="3" id="{9F0F9A3B-A036-4764-8199-7FEB529BA467}">
            <xm:f>$D$17='Languages France'!$L$126</xm:f>
            <x14:dxf>
              <font>
                <color theme="0" tint="-0.14996795556505021"/>
              </font>
              <fill>
                <patternFill>
                  <bgColor theme="0" tint="-0.14996795556505021"/>
                </patternFill>
              </fill>
            </x14:dxf>
          </x14:cfRule>
          <xm:sqref>A25:L28</xm:sqref>
        </x14:conditionalFormatting>
        <x14:conditionalFormatting xmlns:xm="http://schemas.microsoft.com/office/excel/2006/main">
          <x14:cfRule type="expression" priority="2" id="{73229EA1-3C7F-4B67-A290-44A140ED7A94}">
            <xm:f>$D$17='Languages France'!$L$126</xm:f>
            <x14:dxf>
              <font>
                <color theme="0" tint="-0.14996795556505021"/>
              </font>
              <fill>
                <patternFill>
                  <bgColor theme="0" tint="-0.14996795556505021"/>
                </patternFill>
              </fill>
            </x14:dxf>
          </x14:cfRule>
          <xm:sqref>A32:L34</xm:sqref>
        </x14:conditionalFormatting>
        <x14:conditionalFormatting xmlns:xm="http://schemas.microsoft.com/office/excel/2006/main">
          <x14:cfRule type="expression" priority="4" id="{F8C5E63F-FD98-4613-AFB3-9C8F501EEF12}">
            <xm:f>$D$17='Languages France'!$L$126</xm:f>
            <x14:dxf>
              <font>
                <color theme="0" tint="-0.14996795556505021"/>
              </font>
              <fill>
                <patternFill>
                  <bgColor theme="0" tint="-0.14996795556505021"/>
                </patternFill>
              </fill>
            </x14:dxf>
          </x14:cfRule>
          <xm:sqref>A36:L38</xm:sqref>
        </x14:conditionalFormatting>
        <x14:conditionalFormatting xmlns:xm="http://schemas.microsoft.com/office/excel/2006/main">
          <x14:cfRule type="expression" priority="1" id="{8EDD1F32-1A44-4C83-AD4A-6609FD03286B}">
            <xm:f>$D$17='Languages France'!$L$126</xm:f>
            <x14:dxf>
              <font>
                <color theme="0" tint="-0.14996795556505021"/>
              </font>
              <fill>
                <patternFill>
                  <bgColor theme="0" tint="-0.14996795556505021"/>
                </patternFill>
              </fill>
            </x14:dxf>
          </x14:cfRule>
          <xm:sqref>A48:L50</xm:sqref>
        </x14:conditionalFormatting>
        <x14:conditionalFormatting xmlns:xm="http://schemas.microsoft.com/office/excel/2006/main">
          <x14:cfRule type="expression" priority="5" id="{9921BDFD-08D3-41D4-8098-79955F690D13}">
            <xm:f>$D$17='Languages France'!$L$126</xm:f>
            <x14:dxf>
              <font>
                <color theme="0" tint="-0.14996795556505021"/>
              </font>
              <fill>
                <patternFill>
                  <bgColor theme="0" tint="-0.14996795556505021"/>
                </patternFill>
              </fill>
            </x14:dxf>
          </x14:cfRule>
          <xm:sqref>A63:L70</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xr:uid="{A2954BA4-EF6B-4601-95A8-7551BEEF7873}">
          <x14:formula1>
            <xm:f>'Drop Down Lists'!$A$6:$A$8</xm:f>
          </x14:formula1>
          <xm:sqref>K39 J21:K21 I31:K31 J96:K96 E97:F97 J26:K27</xm:sqref>
        </x14:dataValidation>
        <x14:dataValidation type="list" allowBlank="1" showInputMessage="1" showErrorMessage="1" xr:uid="{AF541CF9-5672-4A25-8830-3D3BA69901D4}">
          <x14:formula1>
            <xm:f>'Drop Down Lists'!$AF$3:$AF$24</xm:f>
          </x14:formula1>
          <xm:sqref>G103:K103</xm:sqref>
        </x14:dataValidation>
        <x14:dataValidation type="list" allowBlank="1" showInputMessage="1" showErrorMessage="1" xr:uid="{92DBDE0B-1A00-42BA-AFC7-95028585C772}">
          <x14:formula1>
            <xm:f>'Drop Down Lists'!$C$34:$C$39</xm:f>
          </x14:formula1>
          <xm:sqref>E12:K12</xm:sqref>
        </x14:dataValidation>
        <x14:dataValidation type="list" allowBlank="1" showErrorMessage="1" errorTitle="Incorrect Value" error="You have entered an incorrect value for this field.  Please select a value from the drop down list." xr:uid="{C871858D-773A-4DC2-B619-502C0EDA4794}">
          <x14:formula1>
            <xm:f>'Drop Down Lists'!$B$6:$B$9</xm:f>
          </x14:formula1>
          <xm:sqref>E9:K9</xm:sqref>
        </x14:dataValidation>
        <x14:dataValidation type="list" allowBlank="1" showInputMessage="1" showErrorMessage="1" xr:uid="{ECDA8793-035A-4CD6-9B14-69191EEC6C9C}">
          <x14:formula1>
            <xm:f>'Drop Down Lists'!$R$2:$R$3</xm:f>
          </x14:formula1>
          <xm:sqref>E4:K4</xm:sqref>
        </x14:dataValidation>
        <x14:dataValidation type="list" showInputMessage="1" showErrorMessage="1" errorTitle="Incorrect Value" error="You have entered an incorrect value for this field.  Select a valid option from the drop down list." xr:uid="{F1ADB5CA-F711-409E-8841-37FF56CD6835}">
          <x14:formula1>
            <xm:f>'Drop Down Lists'!$D$31:$D$50</xm:f>
          </x14:formula1>
          <xm:sqref>D17:K17</xm:sqref>
        </x14:dataValidation>
        <x14:dataValidation type="list" allowBlank="1" showInputMessage="1" showErrorMessage="1" xr:uid="{7E0FBDDB-AD6B-455E-BE32-7D87C24E0911}">
          <x14:formula1>
            <xm:f>'Drop Down Lists'!$F$26:$F$32</xm:f>
          </x14:formula1>
          <xm:sqref>H25:K25</xm:sqref>
        </x14:dataValidation>
        <x14:dataValidation type="list" allowBlank="1" showInputMessage="1" showErrorMessage="1" xr:uid="{BBA62BB2-45B2-4EE4-99BC-DB9B619ACF13}">
          <x14:formula1>
            <xm:f>'Drop Down Lists'!$G$23:$G$26</xm:f>
          </x14:formula1>
          <xm:sqref>J28:K29</xm:sqref>
        </x14:dataValidation>
        <x14:dataValidation type="list" allowBlank="1" showInputMessage="1" showErrorMessage="1" xr:uid="{20F36D85-CE45-4AF5-B5B3-5B04FA3A8E78}">
          <x14:formula1>
            <xm:f>'Drop Down Lists'!$B$99:$B$101</xm:f>
          </x14:formula1>
          <xm:sqref>E16:K16</xm:sqref>
        </x14:dataValidation>
        <x14:dataValidation type="list" allowBlank="1" showInputMessage="1" showErrorMessage="1" xr:uid="{84B525AC-2BE2-4CD8-96B4-F744170515AE}">
          <x14:formula1>
            <xm:f>'Drop Down Lists'!$C$60:$C$68</xm:f>
          </x14:formula1>
          <xm:sqref>G47:K47</xm:sqref>
        </x14:dataValidation>
        <x14:dataValidation type="list" allowBlank="1" showInputMessage="1" showErrorMessage="1" xr:uid="{47DC9487-6917-4F32-8840-D64D30A4A041}">
          <x14:formula1>
            <xm:f>'Drop Down Lists'!$D$68:$D$78</xm:f>
          </x14:formula1>
          <xm:sqref>G48:K49</xm:sqref>
        </x14:dataValidation>
        <x14:dataValidation type="list" allowBlank="1" showInputMessage="1" showErrorMessage="1" xr:uid="{3159FEF6-9462-464F-A8D8-15BC3359D166}">
          <x14:formula1>
            <xm:f>'Drop Down Lists'!$N$1:$N$27</xm:f>
          </x14:formula1>
          <xm:sqref>E15:K15</xm:sqref>
        </x14:dataValidation>
        <x14:dataValidation type="list" allowBlank="1" showInputMessage="1" showErrorMessage="1" xr:uid="{C318CB37-A260-4A5D-869B-47F38AA88DE1}">
          <x14:formula1>
            <xm:f>'Drop Down Lists'!$L$74:$L$93</xm:f>
          </x14:formula1>
          <xm:sqref>C50:L50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F1091-0936-4C3B-A7A4-D7B2B1A979B3}">
  <sheetPr codeName="Sheet13"/>
  <dimension ref="A1:M283"/>
  <sheetViews>
    <sheetView workbookViewId="0">
      <pane xSplit="1" ySplit="2" topLeftCell="B105" activePane="bottomRight" state="frozen"/>
      <selection pane="topRight" activeCell="B53" sqref="B53"/>
      <selection pane="bottomLeft" activeCell="B53" sqref="B53"/>
      <selection pane="bottomRight" activeCell="I106" sqref="I106"/>
    </sheetView>
  </sheetViews>
  <sheetFormatPr baseColWidth="10" defaultColWidth="8.6640625" defaultRowHeight="14.4"/>
  <cols>
    <col min="1" max="1" width="26.6640625" customWidth="1"/>
    <col min="2" max="2" width="1.88671875" style="109" bestFit="1" customWidth="1"/>
    <col min="3" max="3" width="42.5546875" style="129" bestFit="1" customWidth="1"/>
    <col min="4" max="4" width="1.44140625" style="109" customWidth="1"/>
    <col min="5" max="5" width="15.88671875" bestFit="1" customWidth="1"/>
    <col min="6" max="6" width="22.6640625" bestFit="1" customWidth="1"/>
    <col min="7" max="7" width="17" bestFit="1" customWidth="1"/>
    <col min="8" max="8" width="15.5546875" bestFit="1" customWidth="1"/>
    <col min="9" max="9" width="41.88671875" style="129" customWidth="1"/>
    <col min="10" max="10" width="17.5546875" bestFit="1" customWidth="1"/>
    <col min="11" max="11" width="18.44140625" bestFit="1" customWidth="1"/>
    <col min="12" max="12" width="40.88671875" customWidth="1"/>
  </cols>
  <sheetData>
    <row r="1" spans="1:13">
      <c r="A1" s="525" t="s">
        <v>117</v>
      </c>
      <c r="B1" s="525"/>
      <c r="C1" s="525"/>
      <c r="D1" s="114"/>
      <c r="E1" s="8" t="str">
        <f>'LN France Form'!E4</f>
        <v>French</v>
      </c>
      <c r="F1" s="100" t="s">
        <v>118</v>
      </c>
      <c r="G1" s="8"/>
      <c r="H1" s="8"/>
      <c r="I1" s="89"/>
      <c r="K1" s="8"/>
      <c r="L1" s="8"/>
    </row>
    <row r="2" spans="1:13">
      <c r="A2" s="9" t="s">
        <v>119</v>
      </c>
      <c r="B2" s="115"/>
      <c r="C2" s="208" t="s">
        <v>120</v>
      </c>
      <c r="D2" s="115"/>
      <c r="E2" s="9" t="s">
        <v>121</v>
      </c>
      <c r="F2" s="9" t="s">
        <v>122</v>
      </c>
      <c r="G2" s="9" t="s">
        <v>123</v>
      </c>
      <c r="H2" s="9" t="s">
        <v>124</v>
      </c>
      <c r="I2" s="208" t="s">
        <v>125</v>
      </c>
      <c r="J2" s="9" t="s">
        <v>126</v>
      </c>
      <c r="K2" s="9" t="s">
        <v>127</v>
      </c>
      <c r="L2" s="9" t="s">
        <v>128</v>
      </c>
      <c r="M2" s="9"/>
    </row>
    <row r="3" spans="1:13">
      <c r="A3" s="12" t="s">
        <v>129</v>
      </c>
      <c r="B3" s="12" t="s">
        <v>130</v>
      </c>
      <c r="C3" s="89" t="s">
        <v>131</v>
      </c>
      <c r="D3" s="109" t="s">
        <v>132</v>
      </c>
      <c r="E3" s="8" t="str">
        <f>CONCATENATE($C$3," (Język)")</f>
        <v>Language (Język)</v>
      </c>
      <c r="F3" s="8" t="s">
        <v>133</v>
      </c>
      <c r="G3" s="8" t="s">
        <v>134</v>
      </c>
      <c r="H3" s="8" t="s">
        <v>135</v>
      </c>
      <c r="I3" s="89" t="str">
        <f>CONCATENATE($C$3," (Langue)")</f>
        <v>Language (Langue)</v>
      </c>
      <c r="J3" s="8" t="str">
        <f>CONCATENATE($C$3," (Idioma)")</f>
        <v>Language (Idioma)</v>
      </c>
      <c r="K3" s="8" t="str">
        <f>CONCATENATE($C$3," (Sprache)")</f>
        <v>Language (Sprache)</v>
      </c>
      <c r="L3" s="22" t="str">
        <f>IF($E$1="English",'Languages France'!C3,IF($E$1="Polish",'Languages France'!E3,IF($E$1="Chinese 中文",'Languages France'!F3,IF($E$1="Japanese 日本語",'Languages France'!G3,IF($E$1="Korean 한국어",'Languages France'!H3,IF($E$1="French",'Languages France'!I3,IF($E$1="Spanish",'Languages France'!J3,IF($E$1="German",'Languages France'!K3,C3))))))))</f>
        <v>Language (Langue)</v>
      </c>
    </row>
    <row r="4" spans="1:13" ht="124.2">
      <c r="A4" s="13" t="s">
        <v>136</v>
      </c>
      <c r="B4" s="13" t="s">
        <v>130</v>
      </c>
      <c r="C4" s="10" t="s">
        <v>137</v>
      </c>
      <c r="D4" s="171" t="s">
        <v>132</v>
      </c>
      <c r="E4" s="10"/>
      <c r="F4" s="10"/>
      <c r="G4" s="10"/>
      <c r="H4" s="10"/>
      <c r="I4" s="98" t="s">
        <v>142</v>
      </c>
      <c r="J4" s="10"/>
      <c r="K4" s="10"/>
      <c r="L4" s="10" t="str">
        <f>IF($E$1=$C$2,C4,IF($E$1=$E$2,E4,IF($E$1=$F$2,F4,IF($E$1=$G$2,G4,IF($E$1=$H$2,H4,IF($E$1=$I$2,I4,IF($E$1=$J$2,J4,IF($E$1=$K$2,K4,C4))))))))</f>
        <v>Ce formulaire est utilisé pour recueillir les informations requises par notre service financier pour payer vos dépenses, honoraires ou autres frais. RELX n'utilisera ces informations à aucune autre fin que celle mentionnée ci-dessus. Ces informations DOIVENT être reçues avant tout paiement. Pour les termes et conditions, nous nous référons à l'accord conclu entre vous et votre entité commerciale légale RELX.</v>
      </c>
      <c r="M4" s="11"/>
    </row>
    <row r="5" spans="1:13" ht="41.4">
      <c r="A5" s="13" t="s">
        <v>145</v>
      </c>
      <c r="B5" s="12" t="s">
        <v>130</v>
      </c>
      <c r="C5" s="10" t="s">
        <v>146</v>
      </c>
      <c r="D5" s="109" t="s">
        <v>132</v>
      </c>
      <c r="E5" s="10"/>
      <c r="F5" s="10"/>
      <c r="G5" s="10"/>
      <c r="H5" s="10"/>
      <c r="I5" s="10" t="s">
        <v>151</v>
      </c>
      <c r="J5" s="10"/>
      <c r="K5" s="10"/>
      <c r="L5" s="10" t="str">
        <f t="shared" ref="L5:L66" si="0">IF($E$1=$C$2,C5,IF($E$1=$E$2,E5,IF($E$1=$F$2,F5,IF($E$1=$G$2,G5,IF($E$1=$H$2,H5,IF($E$1=$I$2,I5,IF($E$1=$J$2,J5,IF($E$1=$K$2,K5,C5))))))))</f>
        <v xml:space="preserve">Veuillez s'il vous plaît remplir TOUS les champs obligatoires et les valider selon les instructions ci-dessous. </v>
      </c>
      <c r="M5" s="10"/>
    </row>
    <row r="6" spans="1:13" ht="41.4">
      <c r="A6" s="13" t="s">
        <v>145</v>
      </c>
      <c r="B6" s="12" t="s">
        <v>130</v>
      </c>
      <c r="C6" s="10" t="s">
        <v>154</v>
      </c>
      <c r="E6" s="10"/>
      <c r="F6" s="10"/>
      <c r="G6" s="10"/>
      <c r="H6" s="10"/>
      <c r="I6" s="98" t="s">
        <v>159</v>
      </c>
      <c r="J6" s="10"/>
      <c r="K6" s="10"/>
      <c r="L6" s="10" t="str">
        <f t="shared" si="0"/>
        <v>Veuillez remplir TOUS les champs obligatoires de cette section et transmettre à votre contact fournisseur pour qu'il soit complété.</v>
      </c>
      <c r="M6" s="10"/>
    </row>
    <row r="7" spans="1:13" ht="55.2">
      <c r="A7" s="13" t="s">
        <v>162</v>
      </c>
      <c r="B7" s="12" t="s">
        <v>130</v>
      </c>
      <c r="C7" s="10" t="s">
        <v>2093</v>
      </c>
      <c r="D7" s="109" t="s">
        <v>132</v>
      </c>
      <c r="E7" s="10"/>
      <c r="F7" s="10"/>
      <c r="G7" s="10"/>
      <c r="H7" s="10"/>
      <c r="I7" s="98" t="s">
        <v>2094</v>
      </c>
      <c r="J7" s="10"/>
      <c r="K7" s="10"/>
      <c r="L7" s="10" t="str">
        <f t="shared" si="0"/>
        <v>Cliquez sur la case bleue pour afficher les exigences de facturation importantes de RELX Global. Le respect de ces exigences réduira le risque de retard de paiement ou de rejet de facture.</v>
      </c>
      <c r="M7" s="10"/>
    </row>
    <row r="8" spans="1:13">
      <c r="A8" s="14" t="s">
        <v>171</v>
      </c>
      <c r="B8" s="13" t="s">
        <v>130</v>
      </c>
      <c r="C8" s="10" t="s">
        <v>172</v>
      </c>
      <c r="D8" s="116" t="s">
        <v>132</v>
      </c>
      <c r="E8" s="10"/>
      <c r="F8" s="10"/>
      <c r="G8" s="10"/>
      <c r="H8" s="10"/>
      <c r="I8" s="98" t="s">
        <v>177</v>
      </c>
      <c r="J8" s="10"/>
      <c r="K8" s="10"/>
      <c r="L8" s="10" t="str">
        <f t="shared" si="0"/>
        <v>Exigences de facturation globale de RELX</v>
      </c>
    </row>
    <row r="9" spans="1:13">
      <c r="A9" s="14" t="s">
        <v>180</v>
      </c>
      <c r="B9" s="12" t="s">
        <v>130</v>
      </c>
      <c r="C9" s="10" t="s">
        <v>181</v>
      </c>
      <c r="D9" s="109" t="s">
        <v>132</v>
      </c>
      <c r="E9" s="85"/>
      <c r="F9" s="10"/>
      <c r="G9" s="10"/>
      <c r="H9" s="10"/>
      <c r="I9" s="85" t="s">
        <v>186</v>
      </c>
      <c r="J9" s="85"/>
      <c r="K9" s="85"/>
      <c r="L9" s="10" t="str">
        <f t="shared" si="0"/>
        <v>Champs obligatoires</v>
      </c>
    </row>
    <row r="10" spans="1:13" ht="27.6">
      <c r="A10" s="14" t="s">
        <v>189</v>
      </c>
      <c r="B10" s="13" t="s">
        <v>130</v>
      </c>
      <c r="C10" s="10" t="s">
        <v>190</v>
      </c>
      <c r="D10" s="116" t="s">
        <v>132</v>
      </c>
      <c r="E10" s="85"/>
      <c r="F10" s="10"/>
      <c r="G10" s="10"/>
      <c r="H10" s="10"/>
      <c r="I10" s="97" t="s">
        <v>195</v>
      </c>
      <c r="J10" s="85"/>
      <c r="K10" s="85"/>
      <c r="L10" s="10" t="str">
        <f t="shared" si="0"/>
        <v>FORMULAIRE D'INSCRIPTION GLOBAL COMPTES PAYABLES</v>
      </c>
    </row>
    <row r="11" spans="1:13" ht="41.4">
      <c r="A11" s="14" t="s">
        <v>198</v>
      </c>
      <c r="B11" s="12" t="s">
        <v>130</v>
      </c>
      <c r="C11" s="10" t="s">
        <v>199</v>
      </c>
      <c r="D11" s="109" t="s">
        <v>132</v>
      </c>
      <c r="E11" s="85"/>
      <c r="F11" s="10"/>
      <c r="G11" s="10"/>
      <c r="H11" s="10"/>
      <c r="I11" s="97" t="s">
        <v>204</v>
      </c>
      <c r="J11" s="85"/>
      <c r="K11" s="85"/>
      <c r="L11" s="10" t="str">
        <f t="shared" si="0"/>
        <v>Aucune facture ou paiement de redevance ne sera payé avant la réception des formulaires remplis et le rappel de validation.</v>
      </c>
    </row>
    <row r="12" spans="1:13" ht="27.6">
      <c r="A12" s="14" t="s">
        <v>207</v>
      </c>
      <c r="B12" s="13" t="s">
        <v>130</v>
      </c>
      <c r="C12" s="10" t="s">
        <v>2095</v>
      </c>
      <c r="D12" s="116" t="s">
        <v>132</v>
      </c>
      <c r="E12" s="85"/>
      <c r="F12" s="10"/>
      <c r="G12" s="10"/>
      <c r="H12" s="10"/>
      <c r="I12" s="85" t="s">
        <v>2096</v>
      </c>
      <c r="J12" s="85"/>
      <c r="K12" s="85"/>
      <c r="L12" s="10" t="str">
        <f t="shared" si="0"/>
        <v>Pour usage interne de LN Legal &amp; Professional et RELX</v>
      </c>
    </row>
    <row r="13" spans="1:13">
      <c r="A13" s="14" t="s">
        <v>216</v>
      </c>
      <c r="B13" s="12" t="s">
        <v>130</v>
      </c>
      <c r="C13" s="10" t="s">
        <v>217</v>
      </c>
      <c r="D13" s="109" t="s">
        <v>132</v>
      </c>
      <c r="E13" s="85"/>
      <c r="F13" s="10"/>
      <c r="G13" s="10"/>
      <c r="H13" s="10"/>
      <c r="I13" s="85" t="s">
        <v>222</v>
      </c>
      <c r="J13" s="85"/>
      <c r="K13" s="85"/>
      <c r="L13" s="10" t="str">
        <f t="shared" si="0"/>
        <v>Date de la demande</v>
      </c>
    </row>
    <row r="14" spans="1:13">
      <c r="A14" s="14" t="s">
        <v>34</v>
      </c>
      <c r="B14" s="13" t="s">
        <v>130</v>
      </c>
      <c r="C14" s="10" t="s">
        <v>225</v>
      </c>
      <c r="D14" s="116" t="s">
        <v>132</v>
      </c>
      <c r="E14" s="85"/>
      <c r="F14" s="10"/>
      <c r="G14" s="10"/>
      <c r="H14" s="10"/>
      <c r="I14" s="97" t="s">
        <v>230</v>
      </c>
      <c r="J14" s="85"/>
      <c r="K14" s="85"/>
      <c r="L14" s="10" t="str">
        <f t="shared" si="0"/>
        <v>Motif de la demande</v>
      </c>
    </row>
    <row r="15" spans="1:13">
      <c r="A15" s="14" t="s">
        <v>233</v>
      </c>
      <c r="B15" s="12" t="s">
        <v>130</v>
      </c>
      <c r="C15" s="10" t="s">
        <v>234</v>
      </c>
      <c r="D15" s="109" t="s">
        <v>132</v>
      </c>
      <c r="E15" s="85"/>
      <c r="F15" s="10"/>
      <c r="G15" s="10"/>
      <c r="H15" s="10"/>
      <c r="I15" s="85" t="s">
        <v>239</v>
      </c>
      <c r="J15" s="85"/>
      <c r="K15" s="85"/>
      <c r="L15" s="10" t="str">
        <f t="shared" si="0"/>
        <v>Fournisseur à modifier :</v>
      </c>
    </row>
    <row r="16" spans="1:13">
      <c r="A16" s="14" t="s">
        <v>242</v>
      </c>
      <c r="B16" s="13" t="s">
        <v>130</v>
      </c>
      <c r="C16" s="10" t="s">
        <v>2097</v>
      </c>
      <c r="D16" s="116" t="s">
        <v>132</v>
      </c>
      <c r="E16" s="85"/>
      <c r="F16" s="10"/>
      <c r="G16" s="10"/>
      <c r="H16" s="10"/>
      <c r="I16" s="85" t="s">
        <v>2098</v>
      </c>
      <c r="J16" s="85"/>
      <c r="K16" s="85"/>
      <c r="L16" s="10" t="str">
        <f t="shared" si="0"/>
        <v>Nom du fournisseur PeopleSoft</v>
      </c>
    </row>
    <row r="17" spans="1:12">
      <c r="A17" s="14" t="s">
        <v>251</v>
      </c>
      <c r="B17" s="12" t="s">
        <v>130</v>
      </c>
      <c r="C17" s="10" t="s">
        <v>2099</v>
      </c>
      <c r="D17" s="109" t="s">
        <v>132</v>
      </c>
      <c r="E17" s="85"/>
      <c r="F17" s="10"/>
      <c r="G17" s="10"/>
      <c r="H17" s="10"/>
      <c r="I17" s="85" t="s">
        <v>2100</v>
      </c>
      <c r="J17" s="85"/>
      <c r="K17" s="85"/>
      <c r="L17" s="10" t="str">
        <f t="shared" si="0"/>
        <v>Code fournisseur PeopleSoft</v>
      </c>
    </row>
    <row r="18" spans="1:12" ht="27.6">
      <c r="A18" s="86" t="s">
        <v>260</v>
      </c>
      <c r="B18" s="13" t="s">
        <v>130</v>
      </c>
      <c r="C18" s="10" t="s">
        <v>261</v>
      </c>
      <c r="D18" s="116" t="s">
        <v>132</v>
      </c>
      <c r="E18" s="85"/>
      <c r="F18" s="10"/>
      <c r="G18" s="10"/>
      <c r="H18" s="10"/>
      <c r="I18" s="97" t="s">
        <v>266</v>
      </c>
      <c r="J18" s="85"/>
      <c r="K18" s="85"/>
      <c r="L18" s="10" t="str">
        <f t="shared" si="0"/>
        <v>Laisser vide si inconnu. (Fournir ces informations aidera AP à mettre à jour le fournisseur.)</v>
      </c>
    </row>
    <row r="19" spans="1:12">
      <c r="A19" s="14" t="s">
        <v>269</v>
      </c>
      <c r="B19" s="12" t="s">
        <v>130</v>
      </c>
      <c r="C19" s="10" t="s">
        <v>270</v>
      </c>
      <c r="D19" s="109" t="s">
        <v>132</v>
      </c>
      <c r="E19" s="85"/>
      <c r="F19" s="10"/>
      <c r="G19" s="10"/>
      <c r="H19" s="10"/>
      <c r="I19" s="85" t="s">
        <v>275</v>
      </c>
      <c r="J19" s="85"/>
      <c r="K19" s="85"/>
      <c r="L19" s="10" t="str">
        <f t="shared" si="0"/>
        <v>Ce qui doit être modifié :</v>
      </c>
    </row>
    <row r="20" spans="1:12">
      <c r="A20" s="14" t="s">
        <v>269</v>
      </c>
      <c r="B20" s="12" t="s">
        <v>130</v>
      </c>
      <c r="C20" s="10" t="s">
        <v>278</v>
      </c>
      <c r="E20" s="85"/>
      <c r="F20" s="10"/>
      <c r="G20" s="10"/>
      <c r="H20" s="10"/>
      <c r="I20" s="97" t="s">
        <v>283</v>
      </c>
      <c r="J20" s="85"/>
      <c r="K20" s="85"/>
      <c r="L20" s="10" t="str">
        <f t="shared" si="0"/>
        <v>Ce qui doit être changé (autre):</v>
      </c>
    </row>
    <row r="21" spans="1:12">
      <c r="A21" s="14" t="s">
        <v>286</v>
      </c>
      <c r="B21" s="13" t="s">
        <v>130</v>
      </c>
      <c r="C21" s="10" t="s">
        <v>287</v>
      </c>
      <c r="D21" s="116" t="s">
        <v>132</v>
      </c>
      <c r="E21" s="85"/>
      <c r="F21" s="10"/>
      <c r="G21" s="10"/>
      <c r="H21" s="10"/>
      <c r="I21" s="85" t="s">
        <v>292</v>
      </c>
      <c r="J21" s="85"/>
      <c r="K21" s="85"/>
      <c r="L21" s="10" t="str">
        <f t="shared" si="0"/>
        <v>Type de fournisseur</v>
      </c>
    </row>
    <row r="22" spans="1:12">
      <c r="A22" s="14" t="s">
        <v>295</v>
      </c>
      <c r="B22" s="13" t="s">
        <v>130</v>
      </c>
      <c r="C22" s="10" t="s">
        <v>296</v>
      </c>
      <c r="D22" s="116" t="s">
        <v>132</v>
      </c>
      <c r="E22" s="85"/>
      <c r="F22" s="10"/>
      <c r="G22" s="10"/>
      <c r="H22" s="10"/>
      <c r="I22" s="85" t="s">
        <v>301</v>
      </c>
      <c r="J22" s="85"/>
      <c r="K22" s="85"/>
      <c r="L22" s="10" t="str">
        <f t="shared" si="0"/>
        <v>S'agit-il d'un fournisseur Matthew Bender Royalty?</v>
      </c>
    </row>
    <row r="23" spans="1:12">
      <c r="A23" s="14" t="s">
        <v>304</v>
      </c>
      <c r="B23" s="13" t="s">
        <v>130</v>
      </c>
      <c r="C23" s="10" t="s">
        <v>305</v>
      </c>
      <c r="D23" s="116" t="s">
        <v>132</v>
      </c>
      <c r="E23" s="85"/>
      <c r="F23" s="10"/>
      <c r="G23" s="10"/>
      <c r="H23" s="10"/>
      <c r="I23" s="85"/>
      <c r="J23" s="85"/>
      <c r="K23" s="85"/>
      <c r="L23" s="10">
        <f t="shared" si="0"/>
        <v>0</v>
      </c>
    </row>
    <row r="24" spans="1:12">
      <c r="A24" s="14" t="s">
        <v>306</v>
      </c>
      <c r="B24" s="12" t="s">
        <v>130</v>
      </c>
      <c r="C24" s="10" t="s">
        <v>307</v>
      </c>
      <c r="D24" s="109" t="s">
        <v>132</v>
      </c>
      <c r="E24" s="85"/>
      <c r="F24" s="10"/>
      <c r="G24" s="10"/>
      <c r="H24" s="10"/>
      <c r="I24" s="85" t="s">
        <v>312</v>
      </c>
      <c r="J24" s="85"/>
      <c r="K24" s="85"/>
      <c r="L24" s="10" t="str">
        <f t="shared" si="0"/>
        <v>Entrepreneur indépendant</v>
      </c>
    </row>
    <row r="25" spans="1:12">
      <c r="A25" s="14" t="s">
        <v>33</v>
      </c>
      <c r="B25" s="13" t="s">
        <v>130</v>
      </c>
      <c r="C25" s="10" t="s">
        <v>315</v>
      </c>
      <c r="D25" s="116" t="s">
        <v>132</v>
      </c>
      <c r="E25" s="85"/>
      <c r="F25" s="10"/>
      <c r="G25" s="10"/>
      <c r="H25" s="10"/>
      <c r="I25" s="85" t="s">
        <v>320</v>
      </c>
      <c r="J25" s="85"/>
      <c r="K25" s="85"/>
      <c r="L25" s="10" t="str">
        <f t="shared" si="0"/>
        <v>Nom du demandeur</v>
      </c>
    </row>
    <row r="26" spans="1:12">
      <c r="A26" s="14" t="s">
        <v>323</v>
      </c>
      <c r="B26" s="12" t="s">
        <v>130</v>
      </c>
      <c r="C26" s="10" t="s">
        <v>324</v>
      </c>
      <c r="D26" s="109" t="s">
        <v>132</v>
      </c>
      <c r="E26" s="85"/>
      <c r="F26" s="10"/>
      <c r="G26" s="10"/>
      <c r="H26" s="10"/>
      <c r="I26" s="85" t="s">
        <v>329</v>
      </c>
      <c r="J26" s="85"/>
      <c r="K26" s="85"/>
      <c r="L26" s="10" t="str">
        <f t="shared" si="0"/>
        <v>Adresse e-mail du demandeur</v>
      </c>
    </row>
    <row r="27" spans="1:12">
      <c r="A27" s="14" t="s">
        <v>332</v>
      </c>
      <c r="B27" s="12" t="s">
        <v>130</v>
      </c>
      <c r="C27" s="10" t="s">
        <v>333</v>
      </c>
      <c r="D27" s="109" t="s">
        <v>132</v>
      </c>
      <c r="E27" s="85"/>
      <c r="F27" s="10"/>
      <c r="G27" s="10"/>
      <c r="H27" s="10"/>
      <c r="I27" s="85" t="s">
        <v>2101</v>
      </c>
      <c r="J27" s="85"/>
      <c r="K27" s="85"/>
      <c r="L27" s="10" t="str">
        <f t="shared" si="0"/>
        <v>Entité</v>
      </c>
    </row>
    <row r="28" spans="1:12">
      <c r="A28" s="14" t="s">
        <v>341</v>
      </c>
      <c r="B28" s="13" t="s">
        <v>130</v>
      </c>
      <c r="C28" s="10" t="s">
        <v>342</v>
      </c>
      <c r="D28" s="116" t="s">
        <v>132</v>
      </c>
      <c r="E28" s="85"/>
      <c r="F28" s="10"/>
      <c r="G28" s="10"/>
      <c r="H28" s="10"/>
      <c r="I28" s="85" t="s">
        <v>2102</v>
      </c>
      <c r="J28" s="85"/>
      <c r="K28" s="85"/>
      <c r="L28" s="10" t="str">
        <f t="shared" si="0"/>
        <v>Pays de l’entité</v>
      </c>
    </row>
    <row r="29" spans="1:12">
      <c r="A29" s="14" t="s">
        <v>350</v>
      </c>
      <c r="B29" s="12" t="s">
        <v>130</v>
      </c>
      <c r="C29" s="10" t="s">
        <v>351</v>
      </c>
      <c r="D29" s="109" t="s">
        <v>132</v>
      </c>
      <c r="E29" s="85"/>
      <c r="F29" s="10"/>
      <c r="G29" s="10"/>
      <c r="H29" s="10"/>
      <c r="I29" s="85" t="s">
        <v>356</v>
      </c>
      <c r="J29" s="85"/>
      <c r="K29" s="85"/>
      <c r="L29" s="10" t="str">
        <f t="shared" si="0"/>
        <v>Méthode de paiement</v>
      </c>
    </row>
    <row r="30" spans="1:12" ht="55.2">
      <c r="A30" s="14" t="s">
        <v>359</v>
      </c>
      <c r="B30" s="13" t="s">
        <v>130</v>
      </c>
      <c r="C30" s="10" t="s">
        <v>2103</v>
      </c>
      <c r="D30" s="116" t="s">
        <v>132</v>
      </c>
      <c r="E30" s="85"/>
      <c r="F30" s="10"/>
      <c r="G30" s="10"/>
      <c r="H30" s="89"/>
      <c r="I30" s="97" t="s">
        <v>2104</v>
      </c>
      <c r="J30" s="85"/>
      <c r="K30" s="85"/>
      <c r="L30" s="10" t="str">
        <f t="shared" si="0"/>
        <v>La méthode de paiement standard RELX est électronique. Pour toute exception, envoyez un e-mail à AP.FRvendormaintenance@lexisnexis.fr pour une pré-approbation.</v>
      </c>
    </row>
    <row r="31" spans="1:12" ht="27.6">
      <c r="A31" s="14" t="s">
        <v>368</v>
      </c>
      <c r="B31" s="13" t="s">
        <v>130</v>
      </c>
      <c r="C31" s="10" t="s">
        <v>2105</v>
      </c>
      <c r="D31" s="116" t="s">
        <v>132</v>
      </c>
      <c r="E31" s="85"/>
      <c r="F31" s="10"/>
      <c r="G31" s="10"/>
      <c r="H31" s="89"/>
      <c r="I31" s="97" t="s">
        <v>2106</v>
      </c>
      <c r="J31" s="85"/>
      <c r="K31" s="85"/>
      <c r="L31" s="10" t="str">
        <f t="shared" si="0"/>
        <v>Existe-t-il un accord signé indiquant les conditions de paiement du fournisseur ?</v>
      </c>
    </row>
    <row r="32" spans="1:12">
      <c r="A32" s="14" t="s">
        <v>377</v>
      </c>
      <c r="B32" s="13" t="s">
        <v>130</v>
      </c>
      <c r="C32" s="10" t="s">
        <v>378</v>
      </c>
      <c r="D32" s="116" t="s">
        <v>132</v>
      </c>
      <c r="E32" s="85"/>
      <c r="F32" s="10"/>
      <c r="G32" s="10"/>
      <c r="H32" s="89"/>
      <c r="I32" s="97" t="s">
        <v>383</v>
      </c>
      <c r="J32" s="85"/>
      <c r="K32" s="85"/>
      <c r="L32" s="10" t="str">
        <f t="shared" si="0"/>
        <v>Modalités de paiement</v>
      </c>
    </row>
    <row r="33" spans="1:12" ht="27.6">
      <c r="A33" s="14" t="s">
        <v>386</v>
      </c>
      <c r="B33" s="12" t="s">
        <v>130</v>
      </c>
      <c r="C33" s="10" t="s">
        <v>2073</v>
      </c>
      <c r="D33" s="109" t="s">
        <v>132</v>
      </c>
      <c r="E33" s="85"/>
      <c r="F33" s="10"/>
      <c r="G33" s="10"/>
      <c r="H33" s="89"/>
      <c r="I33" s="97" t="s">
        <v>2107</v>
      </c>
      <c r="J33" s="85"/>
      <c r="K33" s="85"/>
      <c r="L33" s="10" t="str">
        <f t="shared" si="0"/>
        <v>Les conditions de paiement standard RELX sont de 30 jours NET.</v>
      </c>
    </row>
    <row r="34" spans="1:12" ht="41.4">
      <c r="A34" s="14" t="s">
        <v>395</v>
      </c>
      <c r="B34" s="13" t="s">
        <v>130</v>
      </c>
      <c r="C34" s="10" t="s">
        <v>396</v>
      </c>
      <c r="D34" s="109" t="s">
        <v>132</v>
      </c>
      <c r="E34" s="85"/>
      <c r="F34" s="10"/>
      <c r="G34" s="10"/>
      <c r="H34" s="89"/>
      <c r="I34" s="97" t="s">
        <v>401</v>
      </c>
      <c r="J34" s="85"/>
      <c r="K34" s="85"/>
      <c r="L34" s="10" t="str">
        <f t="shared" si="0"/>
        <v>Indiquez par écrit les conditions de paiement convenues. Un membre de l'équipe APVM sera en contact pour vérifier.</v>
      </c>
    </row>
    <row r="35" spans="1:12" ht="27.6">
      <c r="A35" s="14" t="s">
        <v>404</v>
      </c>
      <c r="B35" s="13" t="s">
        <v>130</v>
      </c>
      <c r="C35" s="10" t="s">
        <v>405</v>
      </c>
      <c r="D35" s="116" t="s">
        <v>132</v>
      </c>
      <c r="E35" s="85"/>
      <c r="F35" s="10"/>
      <c r="G35" s="10"/>
      <c r="H35" s="10"/>
      <c r="I35" s="85" t="s">
        <v>410</v>
      </c>
      <c r="J35" s="85"/>
      <c r="K35" s="85"/>
      <c r="L35" s="10" t="str">
        <f t="shared" si="0"/>
        <v>Raison du référencement d'un nouveau fournisseur</v>
      </c>
    </row>
    <row r="36" spans="1:12" ht="27.6">
      <c r="A36" s="14" t="s">
        <v>413</v>
      </c>
      <c r="B36" s="12" t="s">
        <v>130</v>
      </c>
      <c r="C36" s="10" t="s">
        <v>2108</v>
      </c>
      <c r="D36" s="109" t="s">
        <v>132</v>
      </c>
      <c r="E36" s="85"/>
      <c r="F36" s="10"/>
      <c r="G36" s="10"/>
      <c r="H36" s="89"/>
      <c r="I36" s="97" t="s">
        <v>2109</v>
      </c>
      <c r="J36" s="85"/>
      <c r="K36" s="85"/>
      <c r="L36" s="10" t="str">
        <f t="shared" si="0"/>
        <v>Un contrat d'approvisionnement est-il en place ? (Non applicable aux auteurs)</v>
      </c>
    </row>
    <row r="37" spans="1:12" ht="41.4">
      <c r="A37" s="86" t="s">
        <v>422</v>
      </c>
      <c r="B37" s="12" t="s">
        <v>130</v>
      </c>
      <c r="C37" s="10" t="s">
        <v>423</v>
      </c>
      <c r="D37" s="109" t="s">
        <v>132</v>
      </c>
      <c r="E37" s="85"/>
      <c r="F37" s="10"/>
      <c r="G37" s="10"/>
      <c r="H37" s="89"/>
      <c r="I37" s="97" t="s">
        <v>428</v>
      </c>
      <c r="J37" s="85"/>
      <c r="K37" s="85"/>
      <c r="L37" s="10" t="str">
        <f t="shared" si="0"/>
        <v>Si un contrat d'approvisionnement est en place, veuillez vous assurer qu'une copie est envoyée à contracts@relx.com</v>
      </c>
    </row>
    <row r="38" spans="1:12" ht="27.6">
      <c r="A38" s="14" t="s">
        <v>431</v>
      </c>
      <c r="B38" s="12" t="s">
        <v>130</v>
      </c>
      <c r="C38" s="10" t="s">
        <v>432</v>
      </c>
      <c r="D38" s="109" t="s">
        <v>132</v>
      </c>
      <c r="E38" s="85"/>
      <c r="F38" s="10"/>
      <c r="G38" s="10"/>
      <c r="H38" s="10"/>
      <c r="I38" s="85" t="s">
        <v>437</v>
      </c>
      <c r="J38" s="85"/>
      <c r="K38" s="85"/>
      <c r="L38" s="10" t="str">
        <f t="shared" si="0"/>
        <v>Un bon de commande est-il requis (avez-vous travaillé avec le service des achats)?</v>
      </c>
    </row>
    <row r="39" spans="1:12" ht="96.6">
      <c r="A39" s="14" t="s">
        <v>449</v>
      </c>
      <c r="B39" s="12" t="s">
        <v>130</v>
      </c>
      <c r="C39" s="10" t="s">
        <v>450</v>
      </c>
      <c r="D39" s="109" t="s">
        <v>132</v>
      </c>
      <c r="E39" s="85"/>
      <c r="F39" s="10"/>
      <c r="G39" s="10"/>
      <c r="H39" s="89"/>
      <c r="I39" s="85" t="s">
        <v>455</v>
      </c>
      <c r="J39" s="85"/>
      <c r="K39" s="85"/>
      <c r="L39" s="10" t="str">
        <f t="shared" si="0"/>
        <v>A votre connaissance, est-ce que vous, un membre de votre famille, un employé de RELX ou un membre de la famille d'un employé de RELX, avez ou avez déjà eu un intérêt financier avec le fournisseur (Ex : avoir travaillé avec, s'être concerté avec, être endetté envers, avoir investi ou détenir des titres) ?</v>
      </c>
    </row>
    <row r="40" spans="1:12">
      <c r="A40" s="14" t="s">
        <v>458</v>
      </c>
      <c r="B40" s="13" t="s">
        <v>130</v>
      </c>
      <c r="C40" s="10" t="s">
        <v>459</v>
      </c>
      <c r="D40" s="116" t="s">
        <v>132</v>
      </c>
      <c r="E40" s="85"/>
      <c r="F40" s="10"/>
      <c r="G40" s="10"/>
      <c r="H40" s="10"/>
      <c r="I40" s="85" t="s">
        <v>464</v>
      </c>
      <c r="J40" s="85"/>
      <c r="K40" s="85"/>
      <c r="L40" s="10" t="str">
        <f t="shared" si="0"/>
        <v>Merci de bien vouloir justifier</v>
      </c>
    </row>
    <row r="41" spans="1:12" ht="151.80000000000001">
      <c r="A41" s="14" t="s">
        <v>467</v>
      </c>
      <c r="B41" s="12" t="s">
        <v>130</v>
      </c>
      <c r="C41" s="10" t="s">
        <v>468</v>
      </c>
      <c r="D41" s="109" t="s">
        <v>132</v>
      </c>
      <c r="E41" s="85"/>
      <c r="F41" s="10"/>
      <c r="G41" s="10"/>
      <c r="H41" s="89"/>
      <c r="I41" s="85" t="s">
        <v>473</v>
      </c>
      <c r="J41" s="85"/>
      <c r="K41" s="85"/>
      <c r="L41" s="10" t="str">
        <f t="shared" si="0"/>
        <v>En soumettant ce formulaire, je certifie que, à ma connaissance, les informations contenues dans ce formulaire sont exactes et je comprends que toute fausse déclaration sur ce formulaire pourrait m'exposer à des mesures disciplinaires, pouvant aller jusqu'à la cessation de mon emploi. J'accepte en outre d'aviser rapidement le département comptabilité fournisseur si je découvre des informations supplémentaires qui rendraient inexactes les informations de ce formulaire afin que ces dernières puissent être mises à jour.</v>
      </c>
    </row>
    <row r="42" spans="1:12">
      <c r="A42" s="14" t="s">
        <v>476</v>
      </c>
      <c r="B42" s="13" t="s">
        <v>130</v>
      </c>
      <c r="C42" s="10" t="s">
        <v>477</v>
      </c>
      <c r="D42" s="116" t="s">
        <v>132</v>
      </c>
      <c r="E42" s="85"/>
      <c r="F42" s="10"/>
      <c r="G42" s="10"/>
      <c r="H42" s="10"/>
      <c r="I42" s="85" t="s">
        <v>482</v>
      </c>
      <c r="J42" s="85"/>
      <c r="K42" s="85"/>
      <c r="L42" s="10" t="str">
        <f t="shared" si="0"/>
        <v>UTILISATION P2P (INTERNE) UNIQUEMENT</v>
      </c>
    </row>
    <row r="43" spans="1:12" ht="27.6">
      <c r="A43" s="14" t="s">
        <v>485</v>
      </c>
      <c r="B43" s="12" t="s">
        <v>130</v>
      </c>
      <c r="C43" s="10" t="s">
        <v>486</v>
      </c>
      <c r="D43" s="109" t="s">
        <v>132</v>
      </c>
      <c r="E43" s="85"/>
      <c r="F43" s="10"/>
      <c r="G43" s="10"/>
      <c r="H43" s="10"/>
      <c r="I43" s="85" t="s">
        <v>491</v>
      </c>
      <c r="J43" s="85"/>
      <c r="K43" s="85"/>
      <c r="L43" s="10" t="str">
        <f t="shared" si="0"/>
        <v>INFORMATIONS DU FOURNISSEUR (à remplir par le fournisseur)</v>
      </c>
    </row>
    <row r="44" spans="1:12">
      <c r="A44" s="14" t="s">
        <v>494</v>
      </c>
      <c r="B44" s="12" t="s">
        <v>130</v>
      </c>
      <c r="C44" s="10" t="s">
        <v>495</v>
      </c>
      <c r="D44" s="109" t="s">
        <v>132</v>
      </c>
      <c r="E44" s="85"/>
      <c r="F44" s="10"/>
      <c r="G44" s="10"/>
      <c r="H44" s="10"/>
      <c r="I44" s="85" t="s">
        <v>500</v>
      </c>
      <c r="J44" s="85"/>
      <c r="K44" s="85"/>
      <c r="L44" s="10" t="str">
        <f t="shared" si="0"/>
        <v>Quel est le type de prestation?</v>
      </c>
    </row>
    <row r="45" spans="1:12" ht="27.6">
      <c r="A45" s="14" t="s">
        <v>503</v>
      </c>
      <c r="B45" s="12" t="s">
        <v>130</v>
      </c>
      <c r="C45" s="10" t="s">
        <v>504</v>
      </c>
      <c r="D45" s="109" t="s">
        <v>132</v>
      </c>
      <c r="E45" s="85"/>
      <c r="F45" s="10"/>
      <c r="G45" s="10"/>
      <c r="H45" s="10"/>
      <c r="I45" s="85" t="s">
        <v>509</v>
      </c>
      <c r="J45" s="85"/>
      <c r="K45" s="85"/>
      <c r="L45" s="10" t="str">
        <f t="shared" si="0"/>
        <v>Quel pourcentage concerne la vente des biens et quel pourcentage concerne des services?</v>
      </c>
    </row>
    <row r="46" spans="1:12">
      <c r="A46" s="14" t="s">
        <v>512</v>
      </c>
      <c r="B46" s="13" t="s">
        <v>130</v>
      </c>
      <c r="C46" s="10" t="s">
        <v>513</v>
      </c>
      <c r="D46" s="116" t="s">
        <v>132</v>
      </c>
      <c r="E46" s="85"/>
      <c r="F46" s="10"/>
      <c r="G46" s="10"/>
      <c r="H46" s="10"/>
      <c r="I46" s="85" t="s">
        <v>518</v>
      </c>
      <c r="J46" s="85"/>
      <c r="K46" s="85"/>
      <c r="L46" s="10" t="str">
        <f t="shared" si="0"/>
        <v>Où les services seront-ils rendus?</v>
      </c>
    </row>
    <row r="47" spans="1:12" ht="27.6">
      <c r="A47" s="14" t="s">
        <v>521</v>
      </c>
      <c r="B47" s="12" t="s">
        <v>130</v>
      </c>
      <c r="C47" s="10" t="s">
        <v>522</v>
      </c>
      <c r="D47" s="109" t="s">
        <v>132</v>
      </c>
      <c r="E47" s="85"/>
      <c r="F47" s="10"/>
      <c r="G47" s="10"/>
      <c r="H47" s="10"/>
      <c r="I47" s="85" t="s">
        <v>527</v>
      </c>
      <c r="J47" s="85"/>
      <c r="K47" s="85"/>
      <c r="L47" s="10" t="str">
        <f t="shared" si="0"/>
        <v>Quel pourcentage du travail est effectué aux États-Unis?</v>
      </c>
    </row>
    <row r="48" spans="1:12">
      <c r="A48" s="14" t="s">
        <v>530</v>
      </c>
      <c r="B48" s="13" t="s">
        <v>130</v>
      </c>
      <c r="C48" s="10" t="s">
        <v>531</v>
      </c>
      <c r="D48" s="116" t="s">
        <v>132</v>
      </c>
      <c r="E48" s="10"/>
      <c r="F48" s="10"/>
      <c r="G48" s="10"/>
      <c r="H48" s="10"/>
      <c r="I48" s="85" t="s">
        <v>536</v>
      </c>
      <c r="J48" s="85"/>
      <c r="K48" s="85"/>
      <c r="L48" s="10" t="str">
        <f t="shared" si="0"/>
        <v>Quel type de service sera effectué?</v>
      </c>
    </row>
    <row r="49" spans="1:12">
      <c r="A49" s="14" t="s">
        <v>539</v>
      </c>
      <c r="B49" s="12" t="s">
        <v>130</v>
      </c>
      <c r="C49" s="10" t="s">
        <v>540</v>
      </c>
      <c r="D49" s="109" t="s">
        <v>132</v>
      </c>
      <c r="E49" s="10"/>
      <c r="F49" s="10"/>
      <c r="G49" s="10"/>
      <c r="H49" s="10"/>
      <c r="I49" s="98" t="s">
        <v>545</v>
      </c>
      <c r="J49" s="10"/>
      <c r="K49" s="10"/>
      <c r="L49" s="10" t="str">
        <f t="shared" si="0"/>
        <v>Nom du fournisseur/commercial/individu</v>
      </c>
    </row>
    <row r="50" spans="1:12">
      <c r="A50" s="14" t="s">
        <v>548</v>
      </c>
      <c r="B50" s="13" t="s">
        <v>130</v>
      </c>
      <c r="C50" s="10" t="s">
        <v>549</v>
      </c>
      <c r="D50" s="116" t="s">
        <v>132</v>
      </c>
      <c r="E50" s="10"/>
      <c r="F50" s="10"/>
      <c r="G50" s="10"/>
      <c r="H50" s="10"/>
      <c r="I50" s="10" t="s">
        <v>554</v>
      </c>
      <c r="J50" s="10"/>
      <c r="K50" s="10"/>
      <c r="L50" s="10" t="str">
        <f t="shared" si="0"/>
        <v>Pays (choisir un pays)</v>
      </c>
    </row>
    <row r="51" spans="1:12">
      <c r="A51" s="14" t="s">
        <v>557</v>
      </c>
      <c r="B51" s="12" t="s">
        <v>130</v>
      </c>
      <c r="C51" s="10" t="s">
        <v>558</v>
      </c>
      <c r="D51" s="109" t="s">
        <v>132</v>
      </c>
      <c r="E51" s="10"/>
      <c r="F51" s="10"/>
      <c r="G51" s="10"/>
      <c r="H51" s="10"/>
      <c r="I51" s="10" t="s">
        <v>563</v>
      </c>
      <c r="J51" s="10"/>
      <c r="K51" s="10"/>
      <c r="L51" s="10" t="str">
        <f t="shared" si="0"/>
        <v>Pays du domicile fiscal (choisir un pays)</v>
      </c>
    </row>
    <row r="52" spans="1:12">
      <c r="A52" s="14" t="s">
        <v>566</v>
      </c>
      <c r="B52" s="13" t="s">
        <v>130</v>
      </c>
      <c r="C52" s="10" t="s">
        <v>567</v>
      </c>
      <c r="D52" s="116" t="s">
        <v>132</v>
      </c>
      <c r="E52" s="10"/>
      <c r="F52" s="10"/>
      <c r="G52" s="10"/>
      <c r="H52" s="10"/>
      <c r="I52" s="10" t="s">
        <v>572</v>
      </c>
      <c r="J52" s="10"/>
      <c r="K52" s="10"/>
      <c r="L52" s="10" t="str">
        <f t="shared" si="0"/>
        <v>Adresse - ligne 1</v>
      </c>
    </row>
    <row r="53" spans="1:12">
      <c r="A53" s="14" t="s">
        <v>575</v>
      </c>
      <c r="B53" s="12" t="s">
        <v>130</v>
      </c>
      <c r="C53" s="10" t="s">
        <v>576</v>
      </c>
      <c r="D53" s="109" t="s">
        <v>132</v>
      </c>
      <c r="E53" s="10"/>
      <c r="F53" s="10"/>
      <c r="G53" s="10"/>
      <c r="H53" s="10"/>
      <c r="I53" s="10" t="s">
        <v>581</v>
      </c>
      <c r="J53" s="10"/>
      <c r="K53" s="10"/>
      <c r="L53" s="10" t="str">
        <f t="shared" si="0"/>
        <v>Adresse - ligne 2</v>
      </c>
    </row>
    <row r="54" spans="1:12">
      <c r="A54" s="14" t="s">
        <v>584</v>
      </c>
      <c r="B54" s="13" t="s">
        <v>130</v>
      </c>
      <c r="C54" s="10" t="s">
        <v>585</v>
      </c>
      <c r="D54" s="116" t="s">
        <v>132</v>
      </c>
      <c r="E54" s="10"/>
      <c r="F54" s="10"/>
      <c r="G54" s="10"/>
      <c r="H54" s="10"/>
      <c r="I54" s="10" t="s">
        <v>590</v>
      </c>
      <c r="J54" s="10"/>
      <c r="K54" s="10"/>
      <c r="L54" s="10" t="str">
        <f t="shared" si="0"/>
        <v>Adresse - ligne 3</v>
      </c>
    </row>
    <row r="55" spans="1:12">
      <c r="A55" s="14" t="s">
        <v>593</v>
      </c>
      <c r="B55" s="12" t="s">
        <v>130</v>
      </c>
      <c r="C55" s="10" t="s">
        <v>594</v>
      </c>
      <c r="D55" s="109" t="s">
        <v>132</v>
      </c>
      <c r="E55" s="10"/>
      <c r="F55" s="10"/>
      <c r="G55" s="10"/>
      <c r="H55" s="10"/>
      <c r="I55" s="10" t="s">
        <v>599</v>
      </c>
      <c r="J55" s="10"/>
      <c r="K55" s="10"/>
      <c r="L55" s="10" t="str">
        <f t="shared" si="0"/>
        <v>Adresse - ligne 4</v>
      </c>
    </row>
    <row r="56" spans="1:12">
      <c r="A56" s="14" t="s">
        <v>602</v>
      </c>
      <c r="B56" s="13" t="s">
        <v>130</v>
      </c>
      <c r="C56" s="10" t="s">
        <v>603</v>
      </c>
      <c r="D56" s="116" t="s">
        <v>132</v>
      </c>
      <c r="E56" s="10"/>
      <c r="F56" s="10"/>
      <c r="G56" s="10"/>
      <c r="H56" s="10"/>
      <c r="I56" s="10" t="s">
        <v>608</v>
      </c>
      <c r="J56" s="10"/>
      <c r="K56" s="10"/>
      <c r="L56" s="10" t="str">
        <f t="shared" si="0"/>
        <v>Ville</v>
      </c>
    </row>
    <row r="57" spans="1:12">
      <c r="A57" s="14" t="s">
        <v>611</v>
      </c>
      <c r="B57" s="12" t="s">
        <v>130</v>
      </c>
      <c r="C57" s="10" t="s">
        <v>612</v>
      </c>
      <c r="D57" s="109" t="s">
        <v>132</v>
      </c>
      <c r="E57" s="10"/>
      <c r="F57" s="10"/>
      <c r="G57" s="10"/>
      <c r="H57" s="10"/>
      <c r="I57" s="10" t="s">
        <v>617</v>
      </c>
      <c r="J57" s="10"/>
      <c r="K57" s="10"/>
      <c r="L57" s="10" t="str">
        <f t="shared" si="0"/>
        <v>Code postal</v>
      </c>
    </row>
    <row r="58" spans="1:12" ht="27.6">
      <c r="A58" s="14" t="s">
        <v>620</v>
      </c>
      <c r="B58" s="13" t="s">
        <v>130</v>
      </c>
      <c r="C58" s="10" t="s">
        <v>621</v>
      </c>
      <c r="D58" s="116" t="s">
        <v>132</v>
      </c>
      <c r="E58" s="10"/>
      <c r="F58" s="10"/>
      <c r="G58" s="10"/>
      <c r="H58" s="10"/>
      <c r="I58" s="10" t="s">
        <v>626</v>
      </c>
      <c r="J58" s="10"/>
      <c r="K58" s="10"/>
      <c r="L58" s="10" t="str">
        <f t="shared" si="0"/>
        <v>Nom du contact (si différent du bénéficiaire du paiement)</v>
      </c>
    </row>
    <row r="59" spans="1:12" ht="27.6">
      <c r="A59" s="14" t="s">
        <v>629</v>
      </c>
      <c r="B59" s="12" t="s">
        <v>130</v>
      </c>
      <c r="C59" s="10" t="s">
        <v>630</v>
      </c>
      <c r="D59" s="109" t="s">
        <v>132</v>
      </c>
      <c r="E59" s="10"/>
      <c r="F59" s="10"/>
      <c r="G59" s="10"/>
      <c r="H59" s="10"/>
      <c r="I59" s="10" t="s">
        <v>635</v>
      </c>
      <c r="J59" s="10"/>
      <c r="K59" s="10"/>
      <c r="L59" s="10" t="str">
        <f t="shared" si="0"/>
        <v>Adresse pour les bons de commande (si différente de l'adresse du bénéficiaire du paiement)</v>
      </c>
    </row>
    <row r="60" spans="1:12" ht="27.6">
      <c r="A60" s="14" t="s">
        <v>638</v>
      </c>
      <c r="B60" s="12" t="s">
        <v>130</v>
      </c>
      <c r="C60" s="10" t="s">
        <v>639</v>
      </c>
      <c r="D60" s="109" t="s">
        <v>132</v>
      </c>
      <c r="E60" s="10"/>
      <c r="F60" s="10"/>
      <c r="G60" s="10"/>
      <c r="H60" s="89"/>
      <c r="I60" s="10" t="s">
        <v>644</v>
      </c>
      <c r="J60" s="10"/>
      <c r="K60" s="10"/>
      <c r="L60" s="10" t="str">
        <f t="shared" si="0"/>
        <v>Adresse Email du fournisseur pour les bons de commande</v>
      </c>
    </row>
    <row r="61" spans="1:12" ht="27.6">
      <c r="A61" s="14" t="s">
        <v>647</v>
      </c>
      <c r="B61" s="13" t="s">
        <v>130</v>
      </c>
      <c r="C61" s="10" t="s">
        <v>648</v>
      </c>
      <c r="D61" s="116" t="s">
        <v>132</v>
      </c>
      <c r="E61" s="10"/>
      <c r="F61" s="10"/>
      <c r="G61" s="10"/>
      <c r="H61" s="10"/>
      <c r="I61" s="10" t="s">
        <v>653</v>
      </c>
      <c r="J61" s="10"/>
      <c r="K61" s="10"/>
      <c r="L61" s="10" t="str">
        <f t="shared" si="0"/>
        <v>Adresse Email du fournisseur pour les avis de paiement</v>
      </c>
    </row>
    <row r="62" spans="1:12">
      <c r="A62" s="14" t="s">
        <v>656</v>
      </c>
      <c r="B62" s="12" t="s">
        <v>130</v>
      </c>
      <c r="C62" s="10" t="s">
        <v>657</v>
      </c>
      <c r="D62" s="109" t="s">
        <v>132</v>
      </c>
      <c r="E62" s="10"/>
      <c r="F62" s="10"/>
      <c r="G62" s="10"/>
      <c r="H62" s="10"/>
      <c r="I62" s="10" t="s">
        <v>662</v>
      </c>
      <c r="J62" s="10"/>
      <c r="K62" s="10"/>
      <c r="L62" s="10" t="str">
        <f t="shared" si="0"/>
        <v>Adresse Email complémentaire (si applicable)</v>
      </c>
    </row>
    <row r="63" spans="1:12">
      <c r="A63" s="14" t="s">
        <v>665</v>
      </c>
      <c r="B63" s="13" t="s">
        <v>130</v>
      </c>
      <c r="C63" s="10" t="s">
        <v>666</v>
      </c>
      <c r="D63" s="116" t="s">
        <v>132</v>
      </c>
      <c r="E63" s="10"/>
      <c r="F63" s="10"/>
      <c r="G63" s="10"/>
      <c r="H63" s="10"/>
      <c r="I63" s="10" t="s">
        <v>671</v>
      </c>
      <c r="J63" s="10"/>
      <c r="K63" s="10"/>
      <c r="L63" s="10" t="str">
        <f t="shared" si="0"/>
        <v>Numéro de téléphone du fournisseur/bénéficiaire</v>
      </c>
    </row>
    <row r="64" spans="1:12">
      <c r="A64" s="14" t="s">
        <v>674</v>
      </c>
      <c r="B64" s="12" t="s">
        <v>130</v>
      </c>
      <c r="C64" s="10" t="s">
        <v>675</v>
      </c>
      <c r="D64" s="109" t="s">
        <v>132</v>
      </c>
      <c r="E64" s="10"/>
      <c r="F64" s="10"/>
      <c r="G64" s="10"/>
      <c r="H64" s="10"/>
      <c r="I64" s="10" t="s">
        <v>680</v>
      </c>
      <c r="J64" s="10"/>
      <c r="K64" s="10"/>
      <c r="L64" s="10" t="str">
        <f t="shared" si="0"/>
        <v>Numéro de fax</v>
      </c>
    </row>
    <row r="65" spans="1:12" ht="27.6">
      <c r="A65" s="14" t="s">
        <v>683</v>
      </c>
      <c r="B65" s="12" t="s">
        <v>130</v>
      </c>
      <c r="C65" s="10" t="s">
        <v>2110</v>
      </c>
      <c r="D65" s="109" t="s">
        <v>132</v>
      </c>
      <c r="E65" s="10"/>
      <c r="F65" s="10"/>
      <c r="G65" s="10"/>
      <c r="H65" s="10"/>
      <c r="I65" s="98" t="s">
        <v>2111</v>
      </c>
      <c r="J65" s="10"/>
      <c r="K65" s="10"/>
      <c r="L65" s="10" t="str">
        <f t="shared" si="0"/>
        <v>Si l'adresse change uniquement, passez à la ligne 113.</v>
      </c>
    </row>
    <row r="66" spans="1:12">
      <c r="A66" s="14" t="s">
        <v>692</v>
      </c>
      <c r="B66" s="13" t="s">
        <v>130</v>
      </c>
      <c r="C66" s="10" t="s">
        <v>693</v>
      </c>
      <c r="D66" s="116" t="s">
        <v>132</v>
      </c>
      <c r="E66" s="10"/>
      <c r="F66" s="10"/>
      <c r="G66" s="10"/>
      <c r="H66" s="10"/>
      <c r="I66" s="10" t="s">
        <v>698</v>
      </c>
      <c r="J66" s="10"/>
      <c r="K66" s="10"/>
      <c r="L66" s="10" t="str">
        <f t="shared" si="0"/>
        <v>Numéro d'identification fiscale individuelle (ITIN)</v>
      </c>
    </row>
    <row r="67" spans="1:12">
      <c r="A67" s="14" t="s">
        <v>701</v>
      </c>
      <c r="B67" s="12" t="s">
        <v>130</v>
      </c>
      <c r="C67" s="10" t="s">
        <v>702</v>
      </c>
      <c r="D67" s="109" t="s">
        <v>132</v>
      </c>
      <c r="E67" s="10"/>
      <c r="F67" s="10"/>
      <c r="G67" s="10"/>
      <c r="H67" s="10"/>
      <c r="I67" s="10" t="s">
        <v>707</v>
      </c>
      <c r="J67" s="10"/>
      <c r="K67" s="10"/>
      <c r="L67" s="10" t="str">
        <f t="shared" ref="L67:L129" si="1">IF($E$1=$C$2,C67,IF($E$1=$E$2,E67,IF($E$1=$F$2,F67,IF($E$1=$G$2,G67,IF($E$1=$H$2,H67,IF($E$1=$I$2,I67,IF($E$1=$J$2,J67,IF($E$1=$K$2,K67,C67))))))))</f>
        <v>Impôt étranger #</v>
      </c>
    </row>
    <row r="68" spans="1:12">
      <c r="A68" s="94" t="s">
        <v>710</v>
      </c>
      <c r="B68" s="13" t="s">
        <v>130</v>
      </c>
      <c r="C68" s="10" t="s">
        <v>711</v>
      </c>
      <c r="D68" s="116" t="s">
        <v>132</v>
      </c>
      <c r="E68" s="10"/>
      <c r="F68" s="10"/>
      <c r="G68" s="10"/>
      <c r="H68" s="10"/>
      <c r="I68" s="10"/>
      <c r="J68" s="10"/>
      <c r="K68" s="10"/>
      <c r="L68" s="10">
        <f t="shared" si="1"/>
        <v>0</v>
      </c>
    </row>
    <row r="69" spans="1:12">
      <c r="A69" s="94" t="s">
        <v>713</v>
      </c>
      <c r="B69" s="12" t="s">
        <v>130</v>
      </c>
      <c r="C69" s="10" t="s">
        <v>714</v>
      </c>
      <c r="D69" s="109" t="s">
        <v>132</v>
      </c>
      <c r="E69" s="10"/>
      <c r="F69" s="10"/>
      <c r="G69" s="10"/>
      <c r="H69" s="10"/>
      <c r="I69" s="10"/>
      <c r="J69" s="10"/>
      <c r="K69" s="10"/>
      <c r="L69" s="10">
        <f t="shared" si="1"/>
        <v>0</v>
      </c>
    </row>
    <row r="70" spans="1:12">
      <c r="A70" s="94" t="s">
        <v>716</v>
      </c>
      <c r="B70" s="13" t="s">
        <v>130</v>
      </c>
      <c r="C70" s="10" t="s">
        <v>717</v>
      </c>
      <c r="D70" s="116" t="s">
        <v>132</v>
      </c>
      <c r="E70" s="10"/>
      <c r="F70" s="10"/>
      <c r="G70" s="10"/>
      <c r="H70" s="10"/>
      <c r="I70" s="10"/>
      <c r="J70" s="10"/>
      <c r="K70" s="10"/>
      <c r="L70" s="10">
        <f t="shared" si="1"/>
        <v>0</v>
      </c>
    </row>
    <row r="71" spans="1:12">
      <c r="A71" s="94" t="s">
        <v>719</v>
      </c>
      <c r="B71" s="12" t="s">
        <v>130</v>
      </c>
      <c r="C71" s="10" t="s">
        <v>720</v>
      </c>
      <c r="D71" s="109" t="s">
        <v>132</v>
      </c>
      <c r="E71" s="10"/>
      <c r="F71" s="10"/>
      <c r="G71" s="10"/>
      <c r="H71" s="10"/>
      <c r="I71" s="10" t="s">
        <v>721</v>
      </c>
      <c r="J71" s="10"/>
      <c r="K71" s="10"/>
      <c r="L71" s="10" t="str">
        <f t="shared" si="1"/>
        <v>Type d'activité</v>
      </c>
    </row>
    <row r="72" spans="1:12" ht="27.6">
      <c r="A72" s="94" t="s">
        <v>722</v>
      </c>
      <c r="B72" s="13" t="s">
        <v>130</v>
      </c>
      <c r="C72" s="10" t="s">
        <v>723</v>
      </c>
      <c r="D72" s="116" t="s">
        <v>132</v>
      </c>
      <c r="E72" s="10"/>
      <c r="F72" s="10"/>
      <c r="G72" s="10"/>
      <c r="H72" s="10"/>
      <c r="I72" s="10" t="s">
        <v>724</v>
      </c>
      <c r="J72" s="10"/>
      <c r="K72" s="10"/>
      <c r="L72" s="10" t="str">
        <f t="shared" si="1"/>
        <v>Bénéficiez-vous d'une exemption AGESSA ou MDA ?</v>
      </c>
    </row>
    <row r="73" spans="1:12">
      <c r="A73" s="94" t="s">
        <v>725</v>
      </c>
      <c r="B73" s="12" t="s">
        <v>130</v>
      </c>
      <c r="C73" s="10" t="s">
        <v>726</v>
      </c>
      <c r="D73" s="109" t="s">
        <v>132</v>
      </c>
      <c r="E73" s="10"/>
      <c r="F73" s="10"/>
      <c r="G73" s="10"/>
      <c r="H73" s="10"/>
      <c r="I73" s="10" t="s">
        <v>727</v>
      </c>
      <c r="J73" s="10"/>
      <c r="K73" s="10"/>
      <c r="L73" s="10" t="str">
        <f t="shared" si="1"/>
        <v>Numéro d'inscription à la MDA</v>
      </c>
    </row>
    <row r="74" spans="1:12">
      <c r="A74" s="94" t="s">
        <v>728</v>
      </c>
      <c r="B74" s="13" t="s">
        <v>130</v>
      </c>
      <c r="C74" s="10" t="s">
        <v>729</v>
      </c>
      <c r="D74" s="116" t="s">
        <v>132</v>
      </c>
      <c r="E74" s="10"/>
      <c r="F74" s="10"/>
      <c r="G74" s="10"/>
      <c r="H74" s="10"/>
      <c r="I74" s="10" t="s">
        <v>730</v>
      </c>
      <c r="J74" s="10"/>
      <c r="K74" s="10"/>
      <c r="L74" s="10" t="str">
        <f t="shared" si="1"/>
        <v>SIRET / numéro de sécurité sociale</v>
      </c>
    </row>
    <row r="75" spans="1:12">
      <c r="A75" s="94" t="s">
        <v>731</v>
      </c>
      <c r="B75" s="12" t="s">
        <v>130</v>
      </c>
      <c r="C75" s="10" t="s">
        <v>732</v>
      </c>
      <c r="D75" s="109" t="s">
        <v>132</v>
      </c>
      <c r="E75" s="10"/>
      <c r="F75" s="10"/>
      <c r="G75" s="10"/>
      <c r="H75" s="10"/>
      <c r="I75" s="10"/>
      <c r="J75" s="10"/>
      <c r="K75" s="10"/>
      <c r="L75" s="10">
        <f t="shared" si="1"/>
        <v>0</v>
      </c>
    </row>
    <row r="76" spans="1:12">
      <c r="A76" s="94" t="s">
        <v>734</v>
      </c>
      <c r="B76" s="13" t="s">
        <v>130</v>
      </c>
      <c r="C76" s="10" t="s">
        <v>735</v>
      </c>
      <c r="D76" s="116" t="s">
        <v>132</v>
      </c>
      <c r="E76" s="10"/>
      <c r="F76" s="10"/>
      <c r="G76" s="10"/>
      <c r="H76" s="10"/>
      <c r="I76" s="10"/>
      <c r="J76" s="10"/>
      <c r="K76" s="10"/>
      <c r="L76" s="10">
        <f t="shared" si="1"/>
        <v>0</v>
      </c>
    </row>
    <row r="77" spans="1:12">
      <c r="A77" s="94" t="s">
        <v>737</v>
      </c>
      <c r="B77" s="12" t="s">
        <v>130</v>
      </c>
      <c r="C77" s="10" t="s">
        <v>738</v>
      </c>
      <c r="D77" s="109" t="s">
        <v>132</v>
      </c>
      <c r="E77" s="10"/>
      <c r="F77" s="10"/>
      <c r="G77" s="10"/>
      <c r="H77" s="10"/>
      <c r="I77" s="10"/>
      <c r="J77" s="10"/>
      <c r="K77" s="10"/>
      <c r="L77" s="10">
        <f t="shared" si="1"/>
        <v>0</v>
      </c>
    </row>
    <row r="78" spans="1:12" ht="27.6">
      <c r="A78" s="94" t="s">
        <v>740</v>
      </c>
      <c r="B78" s="13" t="s">
        <v>130</v>
      </c>
      <c r="C78" s="10" t="s">
        <v>741</v>
      </c>
      <c r="D78" s="116" t="s">
        <v>132</v>
      </c>
      <c r="E78" s="10"/>
      <c r="F78" s="10"/>
      <c r="G78" s="10"/>
      <c r="H78" s="10"/>
      <c r="I78" s="10"/>
      <c r="J78" s="10"/>
      <c r="K78" s="10"/>
      <c r="L78" s="10">
        <f t="shared" si="1"/>
        <v>0</v>
      </c>
    </row>
    <row r="79" spans="1:12" ht="27.6">
      <c r="A79" s="94" t="s">
        <v>743</v>
      </c>
      <c r="B79" s="12" t="s">
        <v>130</v>
      </c>
      <c r="C79" s="10" t="s">
        <v>744</v>
      </c>
      <c r="D79" s="109" t="s">
        <v>132</v>
      </c>
      <c r="E79" s="10"/>
      <c r="F79" s="10"/>
      <c r="G79" s="10"/>
      <c r="H79" s="10"/>
      <c r="I79" s="10"/>
      <c r="J79" s="10"/>
      <c r="K79" s="10"/>
      <c r="L79" s="10">
        <f t="shared" si="1"/>
        <v>0</v>
      </c>
    </row>
    <row r="80" spans="1:12" ht="27.6">
      <c r="A80" s="14" t="s">
        <v>746</v>
      </c>
      <c r="B80" s="13" t="s">
        <v>130</v>
      </c>
      <c r="C80" s="10" t="s">
        <v>747</v>
      </c>
      <c r="D80" s="116" t="s">
        <v>132</v>
      </c>
      <c r="E80" s="10"/>
      <c r="F80" s="10"/>
      <c r="G80" s="10"/>
      <c r="H80" s="10"/>
      <c r="I80" s="10" t="s">
        <v>752</v>
      </c>
      <c r="J80" s="10"/>
      <c r="K80" s="10"/>
      <c r="L80" s="10" t="str">
        <f t="shared" si="1"/>
        <v>4 derniers chiffres du compte bancaire précédent (Pour des raisons de sécurité)</v>
      </c>
    </row>
    <row r="81" spans="1:12">
      <c r="A81" s="14" t="s">
        <v>755</v>
      </c>
      <c r="B81" s="12" t="s">
        <v>130</v>
      </c>
      <c r="C81" s="10" t="s">
        <v>756</v>
      </c>
      <c r="D81" s="109" t="s">
        <v>132</v>
      </c>
      <c r="E81" s="10"/>
      <c r="F81" s="10"/>
      <c r="G81" s="10"/>
      <c r="H81" s="10"/>
      <c r="I81" s="98" t="s">
        <v>761</v>
      </c>
      <c r="J81" s="10"/>
      <c r="K81" s="10"/>
      <c r="L81" s="10" t="str">
        <f t="shared" si="1"/>
        <v>Devise de la facture</v>
      </c>
    </row>
    <row r="82" spans="1:12">
      <c r="A82" s="14" t="s">
        <v>764</v>
      </c>
      <c r="B82" s="13" t="s">
        <v>130</v>
      </c>
      <c r="C82" s="10" t="s">
        <v>765</v>
      </c>
      <c r="D82" s="116" t="s">
        <v>132</v>
      </c>
      <c r="E82" s="10"/>
      <c r="F82" s="10"/>
      <c r="G82" s="10"/>
      <c r="H82" s="10"/>
      <c r="I82" s="10" t="s">
        <v>770</v>
      </c>
      <c r="J82" s="10"/>
      <c r="K82" s="10"/>
      <c r="L82" s="10" t="str">
        <f t="shared" si="1"/>
        <v>Autre</v>
      </c>
    </row>
    <row r="83" spans="1:12">
      <c r="A83" s="14" t="s">
        <v>773</v>
      </c>
      <c r="B83" s="12" t="s">
        <v>130</v>
      </c>
      <c r="C83" s="10" t="s">
        <v>774</v>
      </c>
      <c r="D83" s="109" t="s">
        <v>132</v>
      </c>
      <c r="E83" s="10"/>
      <c r="F83" s="10"/>
      <c r="G83" s="10"/>
      <c r="H83" s="10"/>
      <c r="I83" s="10" t="s">
        <v>779</v>
      </c>
      <c r="J83" s="10"/>
      <c r="K83" s="10"/>
      <c r="L83" s="10" t="str">
        <f t="shared" si="1"/>
        <v>Exigences relatives aux formulaires fiscaux</v>
      </c>
    </row>
    <row r="84" spans="1:12">
      <c r="A84" s="14" t="s">
        <v>782</v>
      </c>
      <c r="B84" s="13" t="s">
        <v>130</v>
      </c>
      <c r="C84" s="10" t="s">
        <v>783</v>
      </c>
      <c r="D84" s="116" t="s">
        <v>132</v>
      </c>
      <c r="E84" s="10"/>
      <c r="F84" s="10"/>
      <c r="G84" s="10"/>
      <c r="H84" s="10"/>
      <c r="I84" s="10" t="s">
        <v>788</v>
      </c>
      <c r="J84" s="10"/>
      <c r="K84" s="10"/>
      <c r="L84" s="10" t="str">
        <f t="shared" si="1"/>
        <v>Nom du titulaire du compte bancaire</v>
      </c>
    </row>
    <row r="85" spans="1:12">
      <c r="A85" s="14" t="s">
        <v>791</v>
      </c>
      <c r="B85" s="13" t="s">
        <v>130</v>
      </c>
      <c r="C85" s="10" t="s">
        <v>791</v>
      </c>
      <c r="D85" s="116" t="s">
        <v>132</v>
      </c>
      <c r="E85" s="10"/>
      <c r="F85" s="10"/>
      <c r="G85" s="10"/>
      <c r="H85" s="10"/>
      <c r="I85" s="10" t="s">
        <v>796</v>
      </c>
      <c r="J85" s="10"/>
      <c r="K85" s="10"/>
      <c r="L85" s="10" t="str">
        <f t="shared" si="1"/>
        <v>Nom de la banque</v>
      </c>
    </row>
    <row r="86" spans="1:12">
      <c r="A86" s="14" t="s">
        <v>799</v>
      </c>
      <c r="B86" s="12" t="s">
        <v>130</v>
      </c>
      <c r="C86" s="10" t="s">
        <v>799</v>
      </c>
      <c r="D86" s="109" t="s">
        <v>132</v>
      </c>
      <c r="E86" s="10"/>
      <c r="F86" s="10"/>
      <c r="G86" s="10"/>
      <c r="H86" s="10"/>
      <c r="I86" s="10" t="s">
        <v>804</v>
      </c>
      <c r="J86" s="10"/>
      <c r="K86" s="10"/>
      <c r="L86" s="10" t="str">
        <f t="shared" si="1"/>
        <v>Nom de la succursale</v>
      </c>
    </row>
    <row r="87" spans="1:12">
      <c r="A87" s="14" t="s">
        <v>807</v>
      </c>
      <c r="B87" s="13" t="s">
        <v>130</v>
      </c>
      <c r="C87" s="10" t="s">
        <v>807</v>
      </c>
      <c r="D87" s="116" t="s">
        <v>132</v>
      </c>
      <c r="E87" s="10"/>
      <c r="F87" s="10"/>
      <c r="G87" s="10"/>
      <c r="H87" s="10"/>
      <c r="I87" s="10" t="s">
        <v>812</v>
      </c>
      <c r="J87" s="10"/>
      <c r="K87" s="10"/>
      <c r="L87" s="10" t="str">
        <f t="shared" si="1"/>
        <v>Pays de la banque (choisir un pays)</v>
      </c>
    </row>
    <row r="88" spans="1:12">
      <c r="A88" s="14" t="s">
        <v>815</v>
      </c>
      <c r="B88" s="12" t="s">
        <v>130</v>
      </c>
      <c r="C88" s="10" t="s">
        <v>815</v>
      </c>
      <c r="D88" s="109" t="s">
        <v>132</v>
      </c>
      <c r="E88" s="10"/>
      <c r="F88" s="10"/>
      <c r="G88" s="10"/>
      <c r="H88" s="10"/>
      <c r="I88" s="10" t="s">
        <v>820</v>
      </c>
      <c r="J88" s="10"/>
      <c r="K88" s="10"/>
      <c r="L88" s="10" t="str">
        <f t="shared" si="1"/>
        <v>Numéro de compte bancaire</v>
      </c>
    </row>
    <row r="89" spans="1:12">
      <c r="A89" s="14" t="s">
        <v>823</v>
      </c>
      <c r="B89" s="13" t="s">
        <v>130</v>
      </c>
      <c r="C89" s="10" t="s">
        <v>823</v>
      </c>
      <c r="D89" s="116" t="s">
        <v>132</v>
      </c>
      <c r="E89" s="10"/>
      <c r="F89" s="10"/>
      <c r="G89" s="10"/>
      <c r="H89" s="10"/>
      <c r="I89" s="10" t="s">
        <v>827</v>
      </c>
      <c r="J89" s="10"/>
      <c r="K89" s="10"/>
      <c r="L89" s="10" t="str">
        <f t="shared" si="1"/>
        <v>Code banque</v>
      </c>
    </row>
    <row r="90" spans="1:12">
      <c r="A90" s="14" t="s">
        <v>830</v>
      </c>
      <c r="B90" s="12" t="s">
        <v>130</v>
      </c>
      <c r="C90" s="10" t="s">
        <v>830</v>
      </c>
      <c r="D90" s="109" t="s">
        <v>132</v>
      </c>
      <c r="E90" s="10"/>
      <c r="F90" s="10"/>
      <c r="G90" s="10"/>
      <c r="H90" s="10"/>
      <c r="I90" s="10" t="s">
        <v>834</v>
      </c>
      <c r="J90" s="10"/>
      <c r="K90" s="10"/>
      <c r="L90" s="10" t="str">
        <f t="shared" si="1"/>
        <v>Code guichet/agence</v>
      </c>
    </row>
    <row r="91" spans="1:12">
      <c r="A91" s="14" t="s">
        <v>837</v>
      </c>
      <c r="B91" s="13" t="s">
        <v>130</v>
      </c>
      <c r="C91" s="10" t="s">
        <v>838</v>
      </c>
      <c r="D91" s="116" t="s">
        <v>132</v>
      </c>
      <c r="E91" s="10"/>
      <c r="F91" s="10"/>
      <c r="G91" s="10"/>
      <c r="H91" s="10"/>
      <c r="I91" s="10" t="s">
        <v>838</v>
      </c>
      <c r="J91" s="10"/>
      <c r="K91" s="10"/>
      <c r="L91" s="10" t="str">
        <f t="shared" si="1"/>
        <v>ACH Routing Code</v>
      </c>
    </row>
    <row r="92" spans="1:12">
      <c r="A92" s="14" t="s">
        <v>839</v>
      </c>
      <c r="B92" s="12" t="s">
        <v>130</v>
      </c>
      <c r="C92" s="10" t="s">
        <v>839</v>
      </c>
      <c r="D92" s="109" t="s">
        <v>132</v>
      </c>
      <c r="E92" s="10"/>
      <c r="F92" s="10"/>
      <c r="G92" s="10"/>
      <c r="H92" s="10"/>
      <c r="I92" s="10" t="s">
        <v>843</v>
      </c>
      <c r="J92" s="10"/>
      <c r="K92" s="10"/>
      <c r="L92" s="10" t="str">
        <f t="shared" si="1"/>
        <v>Numéro IBAN</v>
      </c>
    </row>
    <row r="93" spans="1:12">
      <c r="A93" s="14" t="s">
        <v>846</v>
      </c>
      <c r="B93" s="13" t="s">
        <v>130</v>
      </c>
      <c r="C93" s="10" t="s">
        <v>847</v>
      </c>
      <c r="D93" s="116" t="s">
        <v>132</v>
      </c>
      <c r="E93" s="10"/>
      <c r="F93" s="10"/>
      <c r="G93" s="10"/>
      <c r="H93" s="89"/>
      <c r="I93" s="10" t="s">
        <v>852</v>
      </c>
      <c r="J93" s="10"/>
      <c r="K93" s="10"/>
      <c r="L93" s="10" t="str">
        <f t="shared" si="1"/>
        <v>Code BIC / SWIFT</v>
      </c>
    </row>
    <row r="94" spans="1:12" ht="27.6">
      <c r="A94" s="14" t="s">
        <v>855</v>
      </c>
      <c r="B94" s="13" t="s">
        <v>130</v>
      </c>
      <c r="C94" s="10" t="s">
        <v>856</v>
      </c>
      <c r="D94" s="116" t="s">
        <v>132</v>
      </c>
      <c r="E94" s="10"/>
      <c r="F94" s="10"/>
      <c r="G94" s="10"/>
      <c r="H94" s="89"/>
      <c r="I94" s="98" t="s">
        <v>861</v>
      </c>
      <c r="J94" s="10"/>
      <c r="K94" s="10"/>
      <c r="L94" s="10" t="str">
        <f t="shared" si="1"/>
        <v>Le code SWIFT est requis pour les paiements étrangers uniquement.</v>
      </c>
    </row>
    <row r="95" spans="1:12">
      <c r="A95" s="14" t="s">
        <v>864</v>
      </c>
      <c r="B95" s="12" t="s">
        <v>130</v>
      </c>
      <c r="C95" s="10" t="s">
        <v>865</v>
      </c>
      <c r="D95" s="109" t="s">
        <v>132</v>
      </c>
      <c r="E95" s="10"/>
      <c r="F95" s="10"/>
      <c r="G95" s="10"/>
      <c r="H95" s="10"/>
      <c r="I95" s="10"/>
      <c r="J95" s="10"/>
      <c r="K95" s="10"/>
      <c r="L95" s="10">
        <f t="shared" si="1"/>
        <v>0</v>
      </c>
    </row>
    <row r="96" spans="1:12">
      <c r="A96" s="14" t="s">
        <v>869</v>
      </c>
      <c r="B96" s="12" t="s">
        <v>130</v>
      </c>
      <c r="C96" s="10" t="s">
        <v>869</v>
      </c>
      <c r="D96" s="109" t="s">
        <v>132</v>
      </c>
      <c r="E96" s="10"/>
      <c r="F96" s="10"/>
      <c r="G96" s="10"/>
      <c r="H96" s="10"/>
      <c r="I96" s="10" t="s">
        <v>874</v>
      </c>
      <c r="J96" s="10"/>
      <c r="K96" s="10"/>
      <c r="L96" s="10" t="str">
        <f t="shared" si="1"/>
        <v>SOUMISSION DU FORMULAIRE</v>
      </c>
    </row>
    <row r="97" spans="1:12">
      <c r="A97" s="14" t="s">
        <v>877</v>
      </c>
      <c r="B97" s="13" t="s">
        <v>130</v>
      </c>
      <c r="C97" s="10" t="s">
        <v>878</v>
      </c>
      <c r="D97" s="116" t="s">
        <v>132</v>
      </c>
      <c r="E97" s="10"/>
      <c r="F97" s="10"/>
      <c r="G97" s="10"/>
      <c r="H97" s="10"/>
      <c r="I97" s="10" t="s">
        <v>878</v>
      </c>
      <c r="J97" s="10"/>
      <c r="K97" s="10"/>
      <c r="L97" s="10" t="str">
        <f t="shared" si="1"/>
        <v>Email</v>
      </c>
    </row>
    <row r="98" spans="1:12">
      <c r="A98" s="14" t="s">
        <v>883</v>
      </c>
      <c r="B98" s="12" t="s">
        <v>130</v>
      </c>
      <c r="C98" s="10" t="s">
        <v>884</v>
      </c>
      <c r="D98" s="109" t="s">
        <v>132</v>
      </c>
      <c r="E98" s="10"/>
      <c r="F98" s="10"/>
      <c r="G98" s="10"/>
      <c r="H98" s="89"/>
      <c r="I98" s="10" t="s">
        <v>889</v>
      </c>
      <c r="J98" s="10"/>
      <c r="K98" s="10"/>
      <c r="L98" s="10" t="str">
        <f t="shared" si="1"/>
        <v>Numéro sécurisé de fax</v>
      </c>
    </row>
    <row r="99" spans="1:12">
      <c r="A99" s="14" t="s">
        <v>892</v>
      </c>
      <c r="B99" s="13" t="s">
        <v>130</v>
      </c>
      <c r="C99" s="10" t="s">
        <v>893</v>
      </c>
      <c r="D99" s="116" t="s">
        <v>132</v>
      </c>
      <c r="E99" s="10"/>
      <c r="F99" s="10"/>
      <c r="G99" s="10"/>
      <c r="H99" s="10"/>
      <c r="I99" s="10" t="s">
        <v>898</v>
      </c>
      <c r="J99" s="10"/>
      <c r="K99" s="10"/>
      <c r="L99" s="10" t="str">
        <f t="shared" si="1"/>
        <v>Adresse postale</v>
      </c>
    </row>
    <row r="100" spans="1:12" ht="158.4">
      <c r="A100" s="14" t="s">
        <v>901</v>
      </c>
      <c r="B100" s="12" t="s">
        <v>130</v>
      </c>
      <c r="C100" s="89" t="s">
        <v>902</v>
      </c>
      <c r="D100" s="109" t="s">
        <v>132</v>
      </c>
      <c r="E100" s="89"/>
      <c r="F100" s="89"/>
      <c r="G100" s="89"/>
      <c r="H100" s="89"/>
      <c r="I100" s="101" t="s">
        <v>907</v>
      </c>
      <c r="J100" s="89"/>
      <c r="K100" s="89"/>
      <c r="L100" s="10" t="str">
        <f t="shared" si="1"/>
        <v>JE CERTIFIE PAR LA PRÉSENTE QUE LES INFORMATIONS FOURNIES DANS CE DOCUMENT SONT, A MA CONNAISSANCE, COMPLÈTES ET FACTUELLES . *
Le fournisseur comprend que LexisNexis Accounts Payable gère de manière confidentielle une plate-forme de fournisseur mondiale, par conséquent les informations fournies sur ce formulaire peuvent être utilisées pour les paiements dus au fournisseur de l'une des sociétés internationales RELX.</v>
      </c>
    </row>
    <row r="101" spans="1:12">
      <c r="A101" s="14" t="s">
        <v>910</v>
      </c>
      <c r="B101" s="13" t="s">
        <v>130</v>
      </c>
      <c r="C101" s="89" t="s">
        <v>911</v>
      </c>
      <c r="D101" s="116" t="s">
        <v>132</v>
      </c>
      <c r="E101" s="8"/>
      <c r="F101" s="89"/>
      <c r="G101" s="89"/>
      <c r="H101" s="89"/>
      <c r="I101" s="89" t="s">
        <v>911</v>
      </c>
      <c r="J101" s="8"/>
      <c r="K101" s="8"/>
      <c r="L101" s="10" t="str">
        <f t="shared" si="1"/>
        <v>Date</v>
      </c>
    </row>
    <row r="102" spans="1:12">
      <c r="A102" s="14" t="s">
        <v>918</v>
      </c>
      <c r="B102" s="12" t="s">
        <v>130</v>
      </c>
      <c r="C102" s="89" t="s">
        <v>919</v>
      </c>
      <c r="D102" s="109" t="s">
        <v>132</v>
      </c>
      <c r="E102" s="8"/>
      <c r="F102" s="8"/>
      <c r="G102" s="8"/>
      <c r="H102" s="8"/>
      <c r="I102" s="89" t="s">
        <v>924</v>
      </c>
      <c r="J102" s="8"/>
      <c r="K102" s="8"/>
      <c r="L102" s="10" t="str">
        <f t="shared" si="1"/>
        <v>Nom</v>
      </c>
    </row>
    <row r="103" spans="1:12">
      <c r="A103" s="14" t="s">
        <v>926</v>
      </c>
      <c r="B103" s="13" t="s">
        <v>130</v>
      </c>
      <c r="C103" s="89" t="s">
        <v>927</v>
      </c>
      <c r="D103" s="116" t="s">
        <v>132</v>
      </c>
      <c r="E103" s="8"/>
      <c r="F103" s="112"/>
      <c r="G103" s="8"/>
      <c r="H103" s="8"/>
      <c r="I103" s="89" t="s">
        <v>932</v>
      </c>
      <c r="J103" s="8"/>
      <c r="K103" s="8"/>
      <c r="L103" s="10" t="str">
        <f t="shared" si="1"/>
        <v>Fonction</v>
      </c>
    </row>
    <row r="104" spans="1:12">
      <c r="A104" s="14" t="s">
        <v>935</v>
      </c>
      <c r="B104" s="12" t="s">
        <v>130</v>
      </c>
      <c r="C104" s="89" t="s">
        <v>936</v>
      </c>
      <c r="D104" s="109" t="s">
        <v>132</v>
      </c>
      <c r="E104" s="8"/>
      <c r="F104" s="112"/>
      <c r="G104" s="8"/>
      <c r="H104" s="8"/>
      <c r="I104" s="101" t="s">
        <v>936</v>
      </c>
      <c r="J104" s="8"/>
      <c r="K104" s="8"/>
      <c r="L104" s="10" t="str">
        <f t="shared" si="1"/>
        <v>Signature</v>
      </c>
    </row>
    <row r="105" spans="1:12" s="89" customFormat="1" ht="86.4">
      <c r="A105" s="86" t="s">
        <v>943</v>
      </c>
      <c r="B105" s="117"/>
      <c r="C105" s="89" t="s">
        <v>944</v>
      </c>
      <c r="F105" s="206"/>
      <c r="I105" s="101" t="s">
        <v>949</v>
      </c>
      <c r="L105" s="10" t="str">
        <f t="shared" si="1"/>
        <v>CE FORMULAIRE DOIT ÊTRE FOURNI AU SERVICE DES COMPTES FOURNISSEURS AU FORMAT PDF.
Sélectionnez « Enregistrer sous » et choisissez un type d'enregistrement PDF ou « Imprimer » et sélectionnez « Imprimer au format PDF Microsoft ».</v>
      </c>
    </row>
    <row r="106" spans="1:12" s="89" customFormat="1" ht="43.2">
      <c r="A106" s="86" t="s">
        <v>952</v>
      </c>
      <c r="B106" s="12" t="s">
        <v>130</v>
      </c>
      <c r="C106" s="89" t="s">
        <v>953</v>
      </c>
      <c r="D106" s="145" t="s">
        <v>132</v>
      </c>
      <c r="F106" s="206"/>
      <c r="I106" s="101" t="s">
        <v>958</v>
      </c>
      <c r="L106" s="10" t="str">
        <f t="shared" si="1"/>
        <v>ENVOYER UNE COPIE PDF REMPLIE PAR COURRIEL DE CE FORMULAIRE ET DE TOUTE AUTRE DOCUMENTATION PERTINENTE À:</v>
      </c>
    </row>
    <row r="107" spans="1:12">
      <c r="A107" s="14" t="s">
        <v>961</v>
      </c>
      <c r="B107" s="12" t="s">
        <v>130</v>
      </c>
      <c r="C107" s="89" t="s">
        <v>2</v>
      </c>
      <c r="D107" s="109" t="s">
        <v>132</v>
      </c>
      <c r="I107" s="129" t="s">
        <v>966</v>
      </c>
      <c r="L107" s="10" t="str">
        <f t="shared" si="1"/>
        <v>Veuillez sélectionner</v>
      </c>
    </row>
    <row r="108" spans="1:12">
      <c r="A108" s="14" t="s">
        <v>969</v>
      </c>
      <c r="B108" s="12" t="s">
        <v>130</v>
      </c>
      <c r="C108" s="89" t="s">
        <v>970</v>
      </c>
      <c r="D108" s="109" t="s">
        <v>132</v>
      </c>
      <c r="I108" s="129" t="s">
        <v>975</v>
      </c>
      <c r="L108" s="10" t="str">
        <f t="shared" si="1"/>
        <v>OUI</v>
      </c>
    </row>
    <row r="109" spans="1:12">
      <c r="A109" s="14" t="s">
        <v>978</v>
      </c>
      <c r="B109" s="13" t="s">
        <v>130</v>
      </c>
      <c r="C109" s="89" t="s">
        <v>979</v>
      </c>
      <c r="D109" s="116" t="s">
        <v>132</v>
      </c>
      <c r="I109" s="129" t="s">
        <v>984</v>
      </c>
      <c r="L109" s="10" t="str">
        <f t="shared" si="1"/>
        <v>NON</v>
      </c>
    </row>
    <row r="110" spans="1:12">
      <c r="A110" s="14" t="s">
        <v>986</v>
      </c>
      <c r="B110" s="13" t="s">
        <v>130</v>
      </c>
      <c r="C110" s="42" t="s">
        <v>987</v>
      </c>
      <c r="D110" s="116" t="s">
        <v>132</v>
      </c>
      <c r="I110" s="129" t="s">
        <v>992</v>
      </c>
      <c r="L110" s="10" t="str">
        <f t="shared" si="1"/>
        <v>Référencement d'un nouveau fournisseur</v>
      </c>
    </row>
    <row r="111" spans="1:12" ht="28.8">
      <c r="A111" s="14" t="s">
        <v>986</v>
      </c>
      <c r="B111" s="13" t="s">
        <v>130</v>
      </c>
      <c r="C111" s="171" t="s">
        <v>995</v>
      </c>
      <c r="D111" s="116" t="s">
        <v>132</v>
      </c>
      <c r="I111" s="129" t="s">
        <v>1000</v>
      </c>
      <c r="L111" s="10" t="str">
        <f t="shared" si="1"/>
        <v>Modifier / mettre à jour les informations du fournisseur</v>
      </c>
    </row>
    <row r="112" spans="1:12">
      <c r="A112" s="14" t="s">
        <v>986</v>
      </c>
      <c r="B112" s="13" t="s">
        <v>130</v>
      </c>
      <c r="C112" s="42" t="s">
        <v>1003</v>
      </c>
      <c r="D112" s="116" t="s">
        <v>132</v>
      </c>
      <c r="I112" s="129" t="s">
        <v>1007</v>
      </c>
      <c r="L112" s="10" t="str">
        <f t="shared" si="1"/>
        <v>Réactiver un fournisseur inactif</v>
      </c>
    </row>
    <row r="113" spans="1:12">
      <c r="A113" s="14" t="s">
        <v>986</v>
      </c>
      <c r="B113" s="13" t="s">
        <v>130</v>
      </c>
      <c r="C113" s="42" t="s">
        <v>765</v>
      </c>
      <c r="D113" s="116" t="s">
        <v>132</v>
      </c>
      <c r="I113" s="146" t="s">
        <v>770</v>
      </c>
      <c r="L113" s="10" t="str">
        <f t="shared" si="1"/>
        <v>Autre</v>
      </c>
    </row>
    <row r="114" spans="1:12">
      <c r="A114" s="14" t="s">
        <v>1012</v>
      </c>
      <c r="B114" s="13" t="s">
        <v>130</v>
      </c>
      <c r="C114" s="42" t="s">
        <v>1013</v>
      </c>
      <c r="D114" s="116" t="s">
        <v>132</v>
      </c>
      <c r="I114" s="129" t="s">
        <v>1018</v>
      </c>
      <c r="L114" s="10" t="str">
        <f t="shared" si="1"/>
        <v>Ajouter une adresse supplémentaire</v>
      </c>
    </row>
    <row r="115" spans="1:12">
      <c r="A115" s="14" t="s">
        <v>1012</v>
      </c>
      <c r="B115" s="13" t="s">
        <v>130</v>
      </c>
      <c r="C115" s="42" t="s">
        <v>1021</v>
      </c>
      <c r="D115" s="116" t="s">
        <v>132</v>
      </c>
      <c r="I115" s="129" t="s">
        <v>1026</v>
      </c>
      <c r="L115" s="10" t="str">
        <f t="shared" si="1"/>
        <v>Modifier l'adresse existante</v>
      </c>
    </row>
    <row r="116" spans="1:12">
      <c r="A116" s="14" t="s">
        <v>1012</v>
      </c>
      <c r="B116" s="13" t="s">
        <v>130</v>
      </c>
      <c r="C116" s="42" t="s">
        <v>1029</v>
      </c>
      <c r="D116" s="116" t="s">
        <v>132</v>
      </c>
      <c r="I116" s="129" t="s">
        <v>1034</v>
      </c>
      <c r="L116" s="10" t="str">
        <f t="shared" si="1"/>
        <v>Modifier les coordonnées bancaires</v>
      </c>
    </row>
    <row r="117" spans="1:12">
      <c r="A117" s="14" t="s">
        <v>1012</v>
      </c>
      <c r="B117" s="13" t="s">
        <v>130</v>
      </c>
      <c r="C117" s="253" t="s">
        <v>1037</v>
      </c>
      <c r="D117" s="116" t="s">
        <v>132</v>
      </c>
      <c r="I117" s="146" t="s">
        <v>1042</v>
      </c>
      <c r="L117" s="10" t="str">
        <f t="shared" si="1"/>
        <v>Modifier l'adresse et les coordonnées bancaires</v>
      </c>
    </row>
    <row r="118" spans="1:12">
      <c r="A118" s="14" t="s">
        <v>1045</v>
      </c>
      <c r="B118" s="13" t="s">
        <v>130</v>
      </c>
      <c r="C118" s="42" t="s">
        <v>1046</v>
      </c>
      <c r="D118" s="116" t="s">
        <v>132</v>
      </c>
      <c r="I118" s="129" t="s">
        <v>1051</v>
      </c>
      <c r="L118" s="10" t="str">
        <f t="shared" si="1"/>
        <v>Électronique</v>
      </c>
    </row>
    <row r="119" spans="1:12">
      <c r="A119" s="14" t="s">
        <v>1054</v>
      </c>
      <c r="B119" s="13" t="s">
        <v>130</v>
      </c>
      <c r="C119" s="42" t="s">
        <v>1055</v>
      </c>
      <c r="D119" s="116" t="s">
        <v>132</v>
      </c>
      <c r="I119" s="129" t="s">
        <v>1060</v>
      </c>
      <c r="L119" s="10" t="str">
        <f t="shared" si="1"/>
        <v>Aux États-Unis</v>
      </c>
    </row>
    <row r="120" spans="1:12">
      <c r="A120" s="14" t="s">
        <v>1054</v>
      </c>
      <c r="B120" s="13" t="s">
        <v>130</v>
      </c>
      <c r="C120" s="42" t="s">
        <v>1063</v>
      </c>
      <c r="D120" s="116" t="s">
        <v>132</v>
      </c>
      <c r="I120" s="129" t="s">
        <v>1068</v>
      </c>
      <c r="L120" s="10" t="str">
        <f t="shared" si="1"/>
        <v>En dehors des États-Unis</v>
      </c>
    </row>
    <row r="121" spans="1:12">
      <c r="A121" s="14" t="s">
        <v>1071</v>
      </c>
      <c r="B121" s="13" t="s">
        <v>130</v>
      </c>
      <c r="C121" s="209" t="s">
        <v>1072</v>
      </c>
      <c r="D121" s="116" t="s">
        <v>132</v>
      </c>
      <c r="I121" s="129" t="s">
        <v>1077</v>
      </c>
      <c r="L121" s="10" t="str">
        <f t="shared" si="1"/>
        <v>Prestations de service</v>
      </c>
    </row>
    <row r="122" spans="1:12">
      <c r="A122" s="14" t="s">
        <v>1071</v>
      </c>
      <c r="B122" s="13" t="s">
        <v>130</v>
      </c>
      <c r="C122" s="209" t="s">
        <v>1080</v>
      </c>
      <c r="D122" s="116" t="s">
        <v>132</v>
      </c>
      <c r="I122" s="129" t="s">
        <v>1085</v>
      </c>
      <c r="L122" s="10" t="str">
        <f t="shared" si="1"/>
        <v>Vente de biens</v>
      </c>
    </row>
    <row r="123" spans="1:12">
      <c r="A123" s="14" t="s">
        <v>1071</v>
      </c>
      <c r="B123" s="13" t="s">
        <v>130</v>
      </c>
      <c r="C123" s="209" t="s">
        <v>1088</v>
      </c>
      <c r="D123" s="116" t="s">
        <v>132</v>
      </c>
      <c r="I123" s="129" t="s">
        <v>1093</v>
      </c>
      <c r="L123" s="10" t="str">
        <f t="shared" si="1"/>
        <v>Biens et services</v>
      </c>
    </row>
    <row r="124" spans="1:12">
      <c r="A124" s="14" t="s">
        <v>1071</v>
      </c>
      <c r="B124" s="13" t="s">
        <v>130</v>
      </c>
      <c r="C124" s="209" t="s">
        <v>1096</v>
      </c>
      <c r="D124" s="116" t="s">
        <v>132</v>
      </c>
      <c r="I124" s="129" t="s">
        <v>1101</v>
      </c>
      <c r="L124" s="10" t="str">
        <f t="shared" si="1"/>
        <v>Redevances / droits d'auteur</v>
      </c>
    </row>
    <row r="125" spans="1:12">
      <c r="A125" s="14" t="s">
        <v>1071</v>
      </c>
      <c r="B125" s="13" t="s">
        <v>130</v>
      </c>
      <c r="C125" s="209" t="s">
        <v>1104</v>
      </c>
      <c r="D125" s="116" t="s">
        <v>132</v>
      </c>
      <c r="I125" s="146" t="s">
        <v>1109</v>
      </c>
      <c r="L125" s="10" t="str">
        <f t="shared" si="1"/>
        <v>Rapports de police</v>
      </c>
    </row>
    <row r="126" spans="1:12">
      <c r="A126" s="254" t="s">
        <v>1112</v>
      </c>
      <c r="B126" s="13" t="s">
        <v>130</v>
      </c>
      <c r="C126" s="255" t="s">
        <v>1113</v>
      </c>
      <c r="D126" s="116" t="s">
        <v>132</v>
      </c>
      <c r="I126" s="102" t="s">
        <v>1118</v>
      </c>
      <c r="L126" s="10" t="str">
        <f t="shared" si="1"/>
        <v>Éditeurs et auteurs</v>
      </c>
    </row>
    <row r="127" spans="1:12">
      <c r="A127" s="254" t="s">
        <v>1112</v>
      </c>
      <c r="B127" s="13" t="s">
        <v>130</v>
      </c>
      <c r="C127" s="255" t="s">
        <v>1121</v>
      </c>
      <c r="D127" s="116" t="s">
        <v>132</v>
      </c>
      <c r="I127" s="102" t="s">
        <v>1121</v>
      </c>
      <c r="L127" s="10" t="str">
        <f t="shared" si="1"/>
        <v>Commissions</v>
      </c>
    </row>
    <row r="128" spans="1:12">
      <c r="A128" s="254" t="s">
        <v>1112</v>
      </c>
      <c r="B128" s="13" t="s">
        <v>130</v>
      </c>
      <c r="C128" s="255" t="s">
        <v>1128</v>
      </c>
      <c r="D128" s="116" t="s">
        <v>132</v>
      </c>
      <c r="I128" t="s">
        <v>1133</v>
      </c>
      <c r="L128" s="10" t="str">
        <f t="shared" si="1"/>
        <v>Remboursement client</v>
      </c>
    </row>
    <row r="129" spans="1:12">
      <c r="A129" s="254" t="s">
        <v>1112</v>
      </c>
      <c r="B129" s="13" t="s">
        <v>130</v>
      </c>
      <c r="C129" s="209" t="s">
        <v>1136</v>
      </c>
      <c r="D129" s="116" t="s">
        <v>132</v>
      </c>
      <c r="L129" s="10">
        <f t="shared" si="1"/>
        <v>0</v>
      </c>
    </row>
    <row r="130" spans="1:12">
      <c r="A130" s="254" t="s">
        <v>1112</v>
      </c>
      <c r="B130" s="13" t="s">
        <v>130</v>
      </c>
      <c r="C130" s="255" t="s">
        <v>1137</v>
      </c>
      <c r="D130" s="116" t="s">
        <v>132</v>
      </c>
      <c r="I130" t="s">
        <v>1142</v>
      </c>
      <c r="L130" s="10" t="str">
        <f t="shared" ref="L130:L191" si="2">IF($E$1=$C$2,C130,IF($E$1=$E$2,E130,IF($E$1=$F$2,F130,IF($E$1=$G$2,G130,IF($E$1=$H$2,H130,IF($E$1=$I$2,I130,IF($E$1=$J$2,J130,IF($E$1=$K$2,K130,C130))))))))</f>
        <v>Employé</v>
      </c>
    </row>
    <row r="131" spans="1:12">
      <c r="A131" s="254" t="s">
        <v>1112</v>
      </c>
      <c r="B131" s="13" t="s">
        <v>130</v>
      </c>
      <c r="C131" s="255" t="s">
        <v>1145</v>
      </c>
      <c r="D131" s="116" t="s">
        <v>132</v>
      </c>
      <c r="I131" s="102" t="s">
        <v>1150</v>
      </c>
      <c r="L131" s="10" t="str">
        <f t="shared" si="2"/>
        <v>Indépendants</v>
      </c>
    </row>
    <row r="132" spans="1:12">
      <c r="A132" s="254" t="s">
        <v>1112</v>
      </c>
      <c r="B132" s="13" t="s">
        <v>130</v>
      </c>
      <c r="C132" s="255" t="s">
        <v>1153</v>
      </c>
      <c r="D132" s="116" t="s">
        <v>132</v>
      </c>
      <c r="I132" s="102" t="s">
        <v>1158</v>
      </c>
      <c r="L132" s="10" t="str">
        <f t="shared" si="2"/>
        <v>Services juridiques / Règlement</v>
      </c>
    </row>
    <row r="133" spans="1:12" s="8" customFormat="1" ht="28.8">
      <c r="A133" s="254" t="s">
        <v>1112</v>
      </c>
      <c r="B133" s="14" t="s">
        <v>130</v>
      </c>
      <c r="C133" s="210" t="s">
        <v>1161</v>
      </c>
      <c r="D133" s="11" t="s">
        <v>132</v>
      </c>
      <c r="E133" s="89"/>
      <c r="F133" s="89"/>
      <c r="G133" s="89"/>
      <c r="H133" s="89"/>
      <c r="I133" s="101" t="s">
        <v>1166</v>
      </c>
      <c r="J133" s="89"/>
      <c r="K133" s="89"/>
      <c r="L133" s="10" t="str">
        <f t="shared" si="2"/>
        <v>Micro petite et moyenne entreprise - pour l'Inde uniquement</v>
      </c>
    </row>
    <row r="134" spans="1:12">
      <c r="A134" s="254" t="s">
        <v>1112</v>
      </c>
      <c r="B134" s="13" t="s">
        <v>130</v>
      </c>
      <c r="C134" s="255" t="s">
        <v>1169</v>
      </c>
      <c r="D134" s="116" t="s">
        <v>132</v>
      </c>
      <c r="I134" s="102" t="s">
        <v>1174</v>
      </c>
      <c r="L134" s="10" t="str">
        <f t="shared" si="2"/>
        <v>Fournisseur</v>
      </c>
    </row>
    <row r="135" spans="1:12">
      <c r="A135" s="254" t="s">
        <v>1112</v>
      </c>
      <c r="B135" s="13" t="s">
        <v>130</v>
      </c>
      <c r="C135" s="255" t="s">
        <v>1177</v>
      </c>
      <c r="D135" s="116" t="s">
        <v>132</v>
      </c>
      <c r="I135" s="102" t="s">
        <v>1182</v>
      </c>
      <c r="L135" s="10" t="str">
        <f t="shared" si="2"/>
        <v>Location / Bail</v>
      </c>
    </row>
    <row r="136" spans="1:12">
      <c r="A136" s="254" t="s">
        <v>1112</v>
      </c>
      <c r="B136" s="13" t="s">
        <v>130</v>
      </c>
      <c r="C136" s="255" t="s">
        <v>1096</v>
      </c>
      <c r="D136" s="116" t="s">
        <v>132</v>
      </c>
      <c r="H136" s="111"/>
      <c r="I136" s="102" t="s">
        <v>1185</v>
      </c>
      <c r="L136" s="10" t="str">
        <f t="shared" si="2"/>
        <v>Redevance</v>
      </c>
    </row>
    <row r="137" spans="1:12">
      <c r="A137" s="254" t="s">
        <v>1112</v>
      </c>
      <c r="B137" s="13" t="s">
        <v>130</v>
      </c>
      <c r="C137" s="209" t="s">
        <v>1186</v>
      </c>
      <c r="D137" s="116" t="s">
        <v>132</v>
      </c>
      <c r="H137" s="111"/>
      <c r="I137" s="146" t="s">
        <v>1191</v>
      </c>
      <c r="L137" s="10" t="str">
        <f t="shared" si="2"/>
        <v>Royauté - Licences</v>
      </c>
    </row>
    <row r="138" spans="1:12">
      <c r="A138" s="254" t="s">
        <v>1112</v>
      </c>
      <c r="B138" s="13" t="s">
        <v>130</v>
      </c>
      <c r="C138" s="209" t="s">
        <v>1194</v>
      </c>
      <c r="D138" s="116" t="s">
        <v>132</v>
      </c>
      <c r="H138" s="111"/>
      <c r="I138" s="146" t="s">
        <v>1199</v>
      </c>
      <c r="L138" s="10" t="str">
        <f t="shared" si="2"/>
        <v>Concédant de licence libre de droits</v>
      </c>
    </row>
    <row r="139" spans="1:12">
      <c r="A139" s="254" t="s">
        <v>1112</v>
      </c>
      <c r="B139" s="13" t="s">
        <v>130</v>
      </c>
      <c r="C139" s="255" t="s">
        <v>1202</v>
      </c>
      <c r="D139" s="116" t="s">
        <v>132</v>
      </c>
      <c r="H139" s="111"/>
      <c r="I139" s="102" t="s">
        <v>1207</v>
      </c>
      <c r="L139" s="10" t="str">
        <f t="shared" si="2"/>
        <v>Autorité fiscale</v>
      </c>
    </row>
    <row r="140" spans="1:12">
      <c r="A140" s="254" t="s">
        <v>1112</v>
      </c>
      <c r="B140" s="13" t="s">
        <v>130</v>
      </c>
      <c r="C140" s="255" t="s">
        <v>1210</v>
      </c>
      <c r="D140" s="116" t="s">
        <v>132</v>
      </c>
      <c r="I140" t="s">
        <v>1215</v>
      </c>
      <c r="L140" s="10" t="str">
        <f t="shared" si="2"/>
        <v>Utilitaires</v>
      </c>
    </row>
    <row r="141" spans="1:12">
      <c r="A141" s="14" t="s">
        <v>1218</v>
      </c>
      <c r="B141" s="13" t="s">
        <v>130</v>
      </c>
      <c r="C141" s="42" t="s">
        <v>1219</v>
      </c>
      <c r="D141" s="116" t="s">
        <v>132</v>
      </c>
      <c r="I141" s="129" t="s">
        <v>1224</v>
      </c>
      <c r="L141" s="10" t="str">
        <f t="shared" si="2"/>
        <v>Au Royaume-Uni</v>
      </c>
    </row>
    <row r="142" spans="1:12">
      <c r="A142" s="14" t="s">
        <v>1218</v>
      </c>
      <c r="B142" s="13" t="s">
        <v>130</v>
      </c>
      <c r="C142" s="42" t="s">
        <v>1227</v>
      </c>
      <c r="D142" s="116" t="s">
        <v>132</v>
      </c>
      <c r="I142" s="129" t="s">
        <v>1232</v>
      </c>
      <c r="L142" s="10" t="str">
        <f t="shared" si="2"/>
        <v>Hors du Royaume-Uni</v>
      </c>
    </row>
    <row r="143" spans="1:12" s="89" customFormat="1" ht="28.8">
      <c r="A143" s="86" t="s">
        <v>1235</v>
      </c>
      <c r="B143" s="13" t="s">
        <v>130</v>
      </c>
      <c r="C143" s="10" t="s">
        <v>1236</v>
      </c>
      <c r="D143" s="11" t="s">
        <v>132</v>
      </c>
      <c r="I143" s="101" t="s">
        <v>1241</v>
      </c>
      <c r="L143" s="10" t="str">
        <f t="shared" si="2"/>
        <v>Numéro d'assurance sociale (NAS) - entrez si le paiement est fait à un particulier</v>
      </c>
    </row>
    <row r="144" spans="1:12">
      <c r="A144" s="14" t="s">
        <v>1235</v>
      </c>
      <c r="B144" s="13" t="s">
        <v>130</v>
      </c>
      <c r="C144" s="42" t="s">
        <v>1244</v>
      </c>
      <c r="D144" s="116" t="s">
        <v>132</v>
      </c>
      <c r="I144" s="146" t="s">
        <v>1249</v>
      </c>
      <c r="L144" s="10" t="str">
        <f t="shared" si="2"/>
        <v>Êtes-vous inscrit à la TVH, à la TPS ou à la TVQ?</v>
      </c>
    </row>
    <row r="145" spans="1:12">
      <c r="A145" s="14" t="s">
        <v>1235</v>
      </c>
      <c r="B145" s="13" t="s">
        <v>130</v>
      </c>
      <c r="C145" s="42" t="s">
        <v>1252</v>
      </c>
      <c r="D145" s="116" t="s">
        <v>132</v>
      </c>
      <c r="I145" s="146" t="s">
        <v>1257</v>
      </c>
      <c r="L145" s="10" t="str">
        <f t="shared" si="2"/>
        <v>Entrez le numéro de TVH, TPS ou TVQ</v>
      </c>
    </row>
    <row r="146" spans="1:12" s="129" customFormat="1" ht="28.8">
      <c r="A146" s="86" t="s">
        <v>1235</v>
      </c>
      <c r="B146" s="13" t="s">
        <v>130</v>
      </c>
      <c r="C146" s="42" t="s">
        <v>1260</v>
      </c>
      <c r="D146" s="116" t="s">
        <v>132</v>
      </c>
      <c r="I146" s="146" t="s">
        <v>1265</v>
      </c>
      <c r="L146" s="10" t="str">
        <f t="shared" si="2"/>
        <v>Numéro d'entreprise - entrez si le paiement est effectué à une entité</v>
      </c>
    </row>
    <row r="147" spans="1:12" s="8" customFormat="1">
      <c r="A147" s="14" t="s">
        <v>1268</v>
      </c>
      <c r="B147" s="13" t="s">
        <v>130</v>
      </c>
      <c r="C147" s="10" t="s">
        <v>1269</v>
      </c>
      <c r="D147" s="11" t="s">
        <v>132</v>
      </c>
      <c r="E147" s="89"/>
      <c r="F147" s="89"/>
      <c r="G147" s="89"/>
      <c r="H147" s="89"/>
      <c r="I147" s="101" t="s">
        <v>1274</v>
      </c>
      <c r="J147" s="89"/>
      <c r="K147" s="89"/>
      <c r="L147" s="10" t="str">
        <f t="shared" si="2"/>
        <v>Devise du compte bancaire</v>
      </c>
    </row>
    <row r="148" spans="1:12" s="8" customFormat="1">
      <c r="A148" s="14" t="s">
        <v>1277</v>
      </c>
      <c r="B148" s="13" t="s">
        <v>130</v>
      </c>
      <c r="C148" s="10" t="s">
        <v>756</v>
      </c>
      <c r="D148" s="11" t="s">
        <v>132</v>
      </c>
      <c r="E148" s="89"/>
      <c r="F148" s="89"/>
      <c r="G148" s="89"/>
      <c r="H148" s="89"/>
      <c r="I148" s="101" t="s">
        <v>761</v>
      </c>
      <c r="J148" s="89"/>
      <c r="K148" s="89"/>
      <c r="L148" s="10" t="str">
        <f t="shared" si="2"/>
        <v>Devise de la facture</v>
      </c>
    </row>
    <row r="149" spans="1:12" s="8" customFormat="1" ht="43.2">
      <c r="A149" s="14" t="s">
        <v>1280</v>
      </c>
      <c r="B149" s="13" t="s">
        <v>130</v>
      </c>
      <c r="C149" s="10" t="s">
        <v>1281</v>
      </c>
      <c r="D149" s="11" t="s">
        <v>132</v>
      </c>
      <c r="E149" s="89"/>
      <c r="F149" s="89"/>
      <c r="G149" s="89"/>
      <c r="H149" s="89"/>
      <c r="I149" s="101" t="s">
        <v>1286</v>
      </c>
      <c r="J149" s="89"/>
      <c r="K149" s="89"/>
      <c r="L149" s="10" t="str">
        <f t="shared" si="2"/>
        <v>Veuillez vous assurer que la devise de votre facture correspond à la devise de votre compte bancaire.</v>
      </c>
    </row>
    <row r="150" spans="1:12">
      <c r="A150" s="14" t="s">
        <v>1289</v>
      </c>
      <c r="B150" s="13" t="s">
        <v>130</v>
      </c>
      <c r="C150" s="10" t="s">
        <v>8</v>
      </c>
      <c r="D150" s="109" t="s">
        <v>132</v>
      </c>
      <c r="I150" s="146" t="s">
        <v>1294</v>
      </c>
      <c r="L150" s="10" t="str">
        <f t="shared" si="2"/>
        <v>Sélectionnez Oui ou Non</v>
      </c>
    </row>
    <row r="151" spans="1:12">
      <c r="A151" s="14" t="s">
        <v>1297</v>
      </c>
      <c r="B151" s="13" t="s">
        <v>130</v>
      </c>
      <c r="C151" s="10" t="s">
        <v>1298</v>
      </c>
      <c r="D151" s="109" t="s">
        <v>132</v>
      </c>
      <c r="I151" s="146" t="s">
        <v>1303</v>
      </c>
      <c r="L151" s="10" t="str">
        <f t="shared" si="2"/>
        <v>Mode de rémunération</v>
      </c>
    </row>
    <row r="152" spans="1:12">
      <c r="A152" s="14" t="s">
        <v>1306</v>
      </c>
      <c r="B152" s="13" t="s">
        <v>130</v>
      </c>
      <c r="C152" s="42" t="s">
        <v>1307</v>
      </c>
      <c r="D152" s="109" t="s">
        <v>132</v>
      </c>
      <c r="I152" s="146" t="s">
        <v>1312</v>
      </c>
      <c r="L152" s="10" t="str">
        <f t="shared" si="2"/>
        <v>Canada en ligne Royauté</v>
      </c>
    </row>
    <row r="153" spans="1:12">
      <c r="A153" s="14" t="s">
        <v>1306</v>
      </c>
      <c r="B153" s="13" t="s">
        <v>130</v>
      </c>
      <c r="C153" s="42" t="s">
        <v>1315</v>
      </c>
      <c r="D153" s="109" t="s">
        <v>132</v>
      </c>
      <c r="I153" s="146" t="s">
        <v>1320</v>
      </c>
      <c r="L153" s="10" t="str">
        <f t="shared" si="2"/>
        <v>Canada Imprimer Royauté</v>
      </c>
    </row>
    <row r="154" spans="1:12">
      <c r="A154" s="14" t="s">
        <v>1306</v>
      </c>
      <c r="B154" s="13" t="s">
        <v>130</v>
      </c>
      <c r="C154" s="42" t="s">
        <v>1323</v>
      </c>
      <c r="D154" s="109" t="s">
        <v>132</v>
      </c>
      <c r="I154" s="146" t="s">
        <v>1328</v>
      </c>
      <c r="L154" s="10" t="str">
        <f t="shared" si="2"/>
        <v>Redevances en ligne et imprimées du Canada</v>
      </c>
    </row>
    <row r="155" spans="1:12">
      <c r="A155" s="14" t="s">
        <v>1306</v>
      </c>
      <c r="B155" s="13" t="s">
        <v>130</v>
      </c>
      <c r="C155" s="42" t="s">
        <v>1331</v>
      </c>
      <c r="D155" s="109" t="s">
        <v>132</v>
      </c>
      <c r="I155" s="146" t="s">
        <v>1336</v>
      </c>
      <c r="L155" s="10" t="str">
        <f t="shared" si="2"/>
        <v>Frais fixes</v>
      </c>
    </row>
    <row r="156" spans="1:12">
      <c r="A156" s="14" t="s">
        <v>1306</v>
      </c>
      <c r="B156" s="13" t="s">
        <v>130</v>
      </c>
      <c r="C156" s="42" t="s">
        <v>1339</v>
      </c>
      <c r="D156" s="109" t="s">
        <v>132</v>
      </c>
      <c r="I156" s="129" t="s">
        <v>1339</v>
      </c>
      <c r="L156" s="10" t="str">
        <f t="shared" si="2"/>
        <v>Michie</v>
      </c>
    </row>
    <row r="157" spans="1:12">
      <c r="A157" s="14" t="s">
        <v>1306</v>
      </c>
      <c r="B157" s="13" t="s">
        <v>130</v>
      </c>
      <c r="C157" s="42" t="s">
        <v>1340</v>
      </c>
      <c r="D157" s="109" t="s">
        <v>132</v>
      </c>
      <c r="I157" s="129" t="s">
        <v>1340</v>
      </c>
      <c r="L157" s="10" t="str">
        <f t="shared" si="2"/>
        <v>Matthew Bender</v>
      </c>
    </row>
    <row r="158" spans="1:12">
      <c r="A158" s="14" t="s">
        <v>1306</v>
      </c>
      <c r="B158" s="13" t="s">
        <v>130</v>
      </c>
      <c r="C158" s="42" t="s">
        <v>1341</v>
      </c>
      <c r="D158" s="109" t="s">
        <v>132</v>
      </c>
      <c r="I158" s="146" t="s">
        <v>1346</v>
      </c>
      <c r="L158" s="10" t="str">
        <f t="shared" si="2"/>
        <v>Frais fixes et Michie</v>
      </c>
    </row>
    <row r="159" spans="1:12">
      <c r="A159" s="14" t="s">
        <v>1306</v>
      </c>
      <c r="B159" s="13" t="s">
        <v>130</v>
      </c>
      <c r="C159" s="42" t="s">
        <v>1349</v>
      </c>
      <c r="D159" s="109" t="s">
        <v>132</v>
      </c>
      <c r="I159" s="146" t="s">
        <v>1354</v>
      </c>
      <c r="L159" s="10" t="str">
        <f t="shared" si="2"/>
        <v>Frais fixes et Matthew Bender</v>
      </c>
    </row>
    <row r="160" spans="1:12">
      <c r="A160" s="14" t="s">
        <v>1306</v>
      </c>
      <c r="B160" s="13" t="s">
        <v>130</v>
      </c>
      <c r="C160" s="42" t="s">
        <v>1357</v>
      </c>
      <c r="D160" s="109" t="s">
        <v>132</v>
      </c>
      <c r="I160" s="146" t="s">
        <v>1096</v>
      </c>
      <c r="L160" s="10" t="str">
        <f t="shared" si="2"/>
        <v>Royalties</v>
      </c>
    </row>
    <row r="161" spans="1:12">
      <c r="A161" s="14" t="s">
        <v>1306</v>
      </c>
      <c r="B161" s="13" t="s">
        <v>130</v>
      </c>
      <c r="C161" s="42" t="s">
        <v>1362</v>
      </c>
      <c r="D161" s="109" t="s">
        <v>132</v>
      </c>
      <c r="I161" s="146" t="s">
        <v>1367</v>
      </c>
      <c r="L161" s="10" t="str">
        <f t="shared" si="2"/>
        <v>Frais fixes et redevances</v>
      </c>
    </row>
    <row r="162" spans="1:12" s="8" customFormat="1" ht="28.8">
      <c r="A162" s="14" t="s">
        <v>1370</v>
      </c>
      <c r="B162" s="13" t="s">
        <v>130</v>
      </c>
      <c r="C162" s="10" t="s">
        <v>1371</v>
      </c>
      <c r="D162" s="8" t="s">
        <v>132</v>
      </c>
      <c r="E162" s="89"/>
      <c r="F162" s="89"/>
      <c r="G162" s="89"/>
      <c r="H162" s="89"/>
      <c r="I162" s="101" t="s">
        <v>1376</v>
      </c>
      <c r="J162" s="89"/>
      <c r="K162" s="89"/>
      <c r="L162" s="10" t="str">
        <f t="shared" si="2"/>
        <v>Remarque : Deux ID de fournisseur seront créés : un pour les frais fixes et un autre pour Michie.</v>
      </c>
    </row>
    <row r="163" spans="1:12" s="8" customFormat="1" ht="43.2">
      <c r="A163" s="14" t="s">
        <v>1379</v>
      </c>
      <c r="B163" s="13" t="s">
        <v>130</v>
      </c>
      <c r="C163" s="10" t="s">
        <v>1380</v>
      </c>
      <c r="D163" s="8" t="s">
        <v>132</v>
      </c>
      <c r="E163" s="89"/>
      <c r="F163" s="89"/>
      <c r="G163" s="89"/>
      <c r="H163" s="89"/>
      <c r="I163" s="101" t="s">
        <v>1385</v>
      </c>
      <c r="J163" s="89"/>
      <c r="K163" s="89"/>
      <c r="L163" s="10" t="str">
        <f t="shared" si="2"/>
        <v>Remarque : Deux ID de fournisseur seront créés : un pour les frais fixes et un autre pour Matthew Bender.</v>
      </c>
    </row>
    <row r="164" spans="1:12" ht="43.2">
      <c r="A164" s="14" t="s">
        <v>1388</v>
      </c>
      <c r="B164" s="13" t="s">
        <v>130</v>
      </c>
      <c r="C164" s="10" t="s">
        <v>1389</v>
      </c>
      <c r="D164" s="8" t="s">
        <v>132</v>
      </c>
      <c r="E164" s="89"/>
      <c r="F164" s="89"/>
      <c r="G164" s="89"/>
      <c r="H164" s="89"/>
      <c r="I164" s="101" t="s">
        <v>1394</v>
      </c>
      <c r="J164" s="89"/>
      <c r="K164" s="89"/>
      <c r="L164" s="10" t="str">
        <f t="shared" si="2"/>
        <v>Remarque : Deux ID de fournisseur seront créés : un pour les frais fixes et un autre pour les redevances.</v>
      </c>
    </row>
    <row r="165" spans="1:12">
      <c r="A165" s="14" t="s">
        <v>1397</v>
      </c>
      <c r="B165" s="13" t="s">
        <v>130</v>
      </c>
      <c r="C165" s="10" t="s">
        <v>1398</v>
      </c>
      <c r="D165" s="8" t="s">
        <v>132</v>
      </c>
      <c r="I165" s="146" t="s">
        <v>1403</v>
      </c>
      <c r="L165" s="10" t="str">
        <f t="shared" si="2"/>
        <v>S'agit-il d'un auteur à tarif forfaitaire ?</v>
      </c>
    </row>
    <row r="166" spans="1:12">
      <c r="A166" s="14" t="s">
        <v>1406</v>
      </c>
      <c r="B166" s="13" t="s">
        <v>130</v>
      </c>
      <c r="C166" s="10" t="s">
        <v>1407</v>
      </c>
      <c r="D166" s="8" t="s">
        <v>132</v>
      </c>
      <c r="I166" s="146" t="s">
        <v>1412</v>
      </c>
      <c r="L166" s="10" t="str">
        <f t="shared" si="2"/>
        <v>Est-ce un auteur de redevance ?</v>
      </c>
    </row>
    <row r="167" spans="1:12" s="8" customFormat="1">
      <c r="A167" s="14" t="s">
        <v>1415</v>
      </c>
      <c r="B167" s="14" t="s">
        <v>130</v>
      </c>
      <c r="C167" s="10" t="s">
        <v>1416</v>
      </c>
      <c r="D167" s="8" t="s">
        <v>132</v>
      </c>
      <c r="G167" s="89"/>
      <c r="H167" s="89"/>
      <c r="I167" s="101" t="s">
        <v>1421</v>
      </c>
      <c r="J167" s="89"/>
      <c r="K167" s="89"/>
      <c r="L167" s="10" t="str">
        <f t="shared" si="2"/>
        <v>Est-ce un Matthew Bender ou un Michie ?</v>
      </c>
    </row>
    <row r="168" spans="1:12">
      <c r="A168" s="14" t="s">
        <v>1424</v>
      </c>
      <c r="B168" s="13" t="s">
        <v>130</v>
      </c>
      <c r="C168" s="10" t="s">
        <v>1425</v>
      </c>
      <c r="D168" s="8" t="s">
        <v>132</v>
      </c>
      <c r="E168" s="89"/>
      <c r="F168" s="89"/>
      <c r="G168" s="89"/>
      <c r="H168" s="89"/>
      <c r="I168" s="101" t="s">
        <v>1430</v>
      </c>
      <c r="J168" s="89"/>
      <c r="K168" s="89"/>
      <c r="L168" s="10" t="str">
        <f t="shared" si="2"/>
        <v>Matthew Bender (numéro de pub 0-9999)</v>
      </c>
    </row>
    <row r="169" spans="1:12">
      <c r="A169" s="14" t="s">
        <v>1424</v>
      </c>
      <c r="B169" s="13" t="s">
        <v>130</v>
      </c>
      <c r="C169" s="10" t="s">
        <v>1433</v>
      </c>
      <c r="D169" s="8" t="s">
        <v>132</v>
      </c>
      <c r="E169" s="89"/>
      <c r="F169" s="89"/>
      <c r="G169" s="89"/>
      <c r="H169" s="89"/>
      <c r="I169" s="101" t="s">
        <v>1438</v>
      </c>
      <c r="J169" s="89"/>
      <c r="K169" s="89"/>
      <c r="L169" s="10" t="str">
        <f t="shared" si="2"/>
        <v>Michie (numéro de pub 10000 et plus)</v>
      </c>
    </row>
    <row r="170" spans="1:12">
      <c r="A170" s="14" t="s">
        <v>1441</v>
      </c>
      <c r="B170" s="13" t="s">
        <v>130</v>
      </c>
      <c r="C170" s="10" t="s">
        <v>1442</v>
      </c>
      <c r="D170" s="8" t="s">
        <v>132</v>
      </c>
      <c r="E170" s="89"/>
      <c r="F170" s="89"/>
      <c r="G170" s="89"/>
      <c r="H170" s="89"/>
      <c r="I170" s="101" t="s">
        <v>1447</v>
      </c>
      <c r="J170" s="89"/>
      <c r="K170" s="8"/>
      <c r="L170" s="10" t="str">
        <f t="shared" si="2"/>
        <v>Est-ce Canada en ligne ou Canada Print?</v>
      </c>
    </row>
    <row r="171" spans="1:12" s="89" customFormat="1" ht="28.8">
      <c r="A171" s="86" t="s">
        <v>1450</v>
      </c>
      <c r="B171" s="86" t="s">
        <v>130</v>
      </c>
      <c r="C171" s="10" t="s">
        <v>1451</v>
      </c>
      <c r="D171" s="89" t="s">
        <v>132</v>
      </c>
      <c r="I171" s="101" t="s">
        <v>1456</v>
      </c>
      <c r="L171" s="10" t="str">
        <f t="shared" si="2"/>
        <v>Un certificat MSME est requis. Veuillez soumettre avec votre formulaire rempli.</v>
      </c>
    </row>
    <row r="172" spans="1:12">
      <c r="A172" s="14" t="s">
        <v>1459</v>
      </c>
      <c r="B172" s="13" t="s">
        <v>130</v>
      </c>
      <c r="C172" s="10" t="s">
        <v>1460</v>
      </c>
      <c r="D172" s="89" t="s">
        <v>132</v>
      </c>
      <c r="I172" s="146" t="s">
        <v>1464</v>
      </c>
      <c r="L172" s="10" t="str">
        <f t="shared" si="2"/>
        <v>Compagnie</v>
      </c>
    </row>
    <row r="173" spans="1:12">
      <c r="A173" s="14" t="s">
        <v>1459</v>
      </c>
      <c r="B173" s="13" t="s">
        <v>130</v>
      </c>
      <c r="C173" s="10" t="s">
        <v>1467</v>
      </c>
      <c r="D173" s="89" t="s">
        <v>132</v>
      </c>
      <c r="I173" s="146" t="s">
        <v>1472</v>
      </c>
      <c r="L173" s="10" t="str">
        <f t="shared" si="2"/>
        <v>Individuel/Individuelle</v>
      </c>
    </row>
    <row r="174" spans="1:12">
      <c r="A174" s="14" t="s">
        <v>1474</v>
      </c>
      <c r="B174" s="13" t="s">
        <v>130</v>
      </c>
      <c r="C174" s="10" t="s">
        <v>1475</v>
      </c>
      <c r="D174" s="89" t="s">
        <v>132</v>
      </c>
      <c r="I174" s="146" t="s">
        <v>1480</v>
      </c>
      <c r="L174" s="10" t="str">
        <f t="shared" si="2"/>
        <v>Numéro d'enregistrement (obligatoire)</v>
      </c>
    </row>
    <row r="175" spans="1:12">
      <c r="A175" s="14" t="s">
        <v>2112</v>
      </c>
      <c r="C175" s="10" t="s">
        <v>2113</v>
      </c>
      <c r="I175" s="146" t="s">
        <v>2114</v>
      </c>
      <c r="L175" s="10" t="str">
        <f t="shared" si="2"/>
        <v>Entreprise - Associations/Sociétés</v>
      </c>
    </row>
    <row r="176" spans="1:12">
      <c r="A176" s="14" t="s">
        <v>2112</v>
      </c>
      <c r="C176" s="211" t="s">
        <v>2115</v>
      </c>
      <c r="D176" s="207"/>
      <c r="E176" s="3"/>
      <c r="F176" s="3"/>
      <c r="G176" s="3"/>
      <c r="H176" s="3"/>
      <c r="I176" s="42" t="s">
        <v>2116</v>
      </c>
      <c r="L176" s="10" t="str">
        <f t="shared" si="2"/>
        <v>Raison Sociale</v>
      </c>
    </row>
    <row r="177" spans="1:12">
      <c r="A177" s="14" t="s">
        <v>2112</v>
      </c>
      <c r="C177" s="211" t="s">
        <v>2117</v>
      </c>
      <c r="D177" s="207"/>
      <c r="E177" s="3"/>
      <c r="F177" s="3"/>
      <c r="G177" s="3"/>
      <c r="H177" s="3"/>
      <c r="I177" s="42" t="s">
        <v>2118</v>
      </c>
      <c r="L177" s="10" t="str">
        <f t="shared" si="2"/>
        <v>Sigle, Enseigne ou Nom commercial</v>
      </c>
    </row>
    <row r="178" spans="1:12">
      <c r="A178" s="14" t="s">
        <v>2112</v>
      </c>
      <c r="C178" s="211" t="s">
        <v>2119</v>
      </c>
      <c r="D178" s="207"/>
      <c r="E178" s="3"/>
      <c r="F178" s="3"/>
      <c r="G178" s="3"/>
      <c r="H178" s="3"/>
      <c r="I178" s="42" t="s">
        <v>2120</v>
      </c>
      <c r="L178" s="10" t="str">
        <f t="shared" si="2"/>
        <v>Activité</v>
      </c>
    </row>
    <row r="179" spans="1:12">
      <c r="A179" s="14" t="s">
        <v>2112</v>
      </c>
      <c r="C179" s="211" t="s">
        <v>2121</v>
      </c>
      <c r="D179" s="207"/>
      <c r="E179" s="3"/>
      <c r="F179" s="3"/>
      <c r="G179" s="3"/>
      <c r="H179" s="3"/>
      <c r="I179" s="42" t="s">
        <v>2122</v>
      </c>
      <c r="L179" s="10" t="str">
        <f t="shared" si="2"/>
        <v>Forme juridique</v>
      </c>
    </row>
    <row r="180" spans="1:12" ht="27.6">
      <c r="A180" s="14" t="s">
        <v>2112</v>
      </c>
      <c r="C180" s="211" t="s">
        <v>2123</v>
      </c>
      <c r="D180" s="207"/>
      <c r="E180" s="3"/>
      <c r="F180" s="3"/>
      <c r="G180" s="3"/>
      <c r="H180" s="3"/>
      <c r="I180" s="42" t="s">
        <v>2124</v>
      </c>
      <c r="L180" s="10" t="str">
        <f t="shared" si="2"/>
        <v>N° de Tva intracommunautaire (Si non assujetti à la tva, expliquez pourquoi.)</v>
      </c>
    </row>
    <row r="181" spans="1:12" s="8" customFormat="1" ht="27.6">
      <c r="A181" s="14" t="s">
        <v>2112</v>
      </c>
      <c r="C181" s="98" t="s">
        <v>2125</v>
      </c>
      <c r="D181" s="187"/>
      <c r="E181" s="187"/>
      <c r="F181" s="187"/>
      <c r="G181" s="187"/>
      <c r="H181" s="187"/>
      <c r="I181" s="10" t="s">
        <v>2126</v>
      </c>
      <c r="L181" s="10" t="str">
        <f t="shared" si="2"/>
        <v>N° Siret (Si non inscrit au répertoire, expliquez pourquoi.)</v>
      </c>
    </row>
    <row r="182" spans="1:12">
      <c r="A182" s="14" t="s">
        <v>2112</v>
      </c>
      <c r="C182" s="211" t="s">
        <v>2127</v>
      </c>
      <c r="D182" s="207"/>
      <c r="E182" s="3"/>
      <c r="F182" s="3"/>
      <c r="G182" s="3"/>
      <c r="H182" s="3"/>
      <c r="I182" s="42" t="s">
        <v>2128</v>
      </c>
      <c r="L182" s="10" t="str">
        <f t="shared" si="2"/>
        <v>Autre n° d’immatriculation (association etc…)</v>
      </c>
    </row>
    <row r="183" spans="1:12">
      <c r="A183" s="14" t="s">
        <v>2112</v>
      </c>
      <c r="C183" s="211" t="s">
        <v>2129</v>
      </c>
      <c r="D183" s="207"/>
      <c r="E183" s="3"/>
      <c r="F183" s="3"/>
      <c r="G183" s="3"/>
      <c r="H183" s="3"/>
      <c r="I183" s="42" t="s">
        <v>2130</v>
      </c>
      <c r="L183" s="10" t="str">
        <f t="shared" si="2"/>
        <v>Code Naf (nomenclature rév. 2 de 2008)</v>
      </c>
    </row>
    <row r="184" spans="1:12">
      <c r="A184" s="14" t="s">
        <v>2112</v>
      </c>
      <c r="C184" s="211" t="s">
        <v>2131</v>
      </c>
      <c r="D184" s="207"/>
      <c r="E184" s="3"/>
      <c r="F184" s="3"/>
      <c r="G184" s="3"/>
      <c r="H184" s="3"/>
      <c r="I184" s="42" t="s">
        <v>2132</v>
      </c>
      <c r="L184" s="10" t="str">
        <f t="shared" si="2"/>
        <v>Adresse de réception du Bon de cde</v>
      </c>
    </row>
    <row r="185" spans="1:12">
      <c r="A185" s="14" t="s">
        <v>2112</v>
      </c>
      <c r="C185" s="211" t="s">
        <v>2133</v>
      </c>
      <c r="D185" s="207"/>
      <c r="E185" s="3"/>
      <c r="F185" s="3"/>
      <c r="G185" s="3"/>
      <c r="H185" s="3"/>
      <c r="I185" s="42" t="s">
        <v>2134</v>
      </c>
      <c r="L185" s="10" t="str">
        <f t="shared" si="2"/>
        <v xml:space="preserve">Adresse d’en-tête Facture </v>
      </c>
    </row>
    <row r="186" spans="1:12">
      <c r="A186" s="14" t="s">
        <v>2112</v>
      </c>
      <c r="C186" s="211" t="s">
        <v>2135</v>
      </c>
      <c r="D186" s="207"/>
      <c r="E186" s="3"/>
      <c r="F186" s="3"/>
      <c r="G186" s="3"/>
      <c r="H186" s="3"/>
      <c r="I186" s="42" t="s">
        <v>2136</v>
      </c>
      <c r="L186" s="10" t="str">
        <f t="shared" si="2"/>
        <v>Adresse de réception de l’avis de virement</v>
      </c>
    </row>
    <row r="187" spans="1:12" ht="69">
      <c r="A187" s="14" t="s">
        <v>2112</v>
      </c>
      <c r="C187" s="211" t="s">
        <v>2137</v>
      </c>
      <c r="D187" s="207"/>
      <c r="E187" s="3"/>
      <c r="F187" s="3"/>
      <c r="G187" s="3"/>
      <c r="H187" s="3"/>
      <c r="I187" s="42" t="s">
        <v>2138</v>
      </c>
      <c r="L187" s="10" t="str">
        <f t="shared" si="2"/>
        <v>Contact habilité à fournir l’attestation de fourniture de déclaration sociale, dite de vigilance et la liste nominative des salariés étrangers soumis à autorisation de travail (en application de l’article L-8222-1 du code du travail)</v>
      </c>
    </row>
    <row r="188" spans="1:12">
      <c r="A188" s="14" t="s">
        <v>2112</v>
      </c>
      <c r="C188" s="211" t="s">
        <v>2139</v>
      </c>
      <c r="D188" s="207"/>
      <c r="E188" s="3"/>
      <c r="F188" s="3"/>
      <c r="G188" s="3"/>
      <c r="H188" s="3"/>
      <c r="I188" s="42" t="s">
        <v>2140</v>
      </c>
      <c r="L188" s="10" t="str">
        <f t="shared" si="2"/>
        <v>Taux de TVA</v>
      </c>
    </row>
    <row r="189" spans="1:12">
      <c r="A189" s="14" t="s">
        <v>2112</v>
      </c>
      <c r="C189" s="211" t="s">
        <v>2141</v>
      </c>
      <c r="I189" s="42" t="s">
        <v>2142</v>
      </c>
      <c r="L189" s="10" t="str">
        <f t="shared" si="2"/>
        <v>Exigibilité de la Tva</v>
      </c>
    </row>
    <row r="190" spans="1:12">
      <c r="A190" s="14" t="s">
        <v>2112</v>
      </c>
      <c r="C190" s="211" t="s">
        <v>2143</v>
      </c>
      <c r="I190" s="42" t="s">
        <v>2144</v>
      </c>
      <c r="L190" s="10" t="str">
        <f t="shared" si="2"/>
        <v xml:space="preserve">Sur les encaissements </v>
      </c>
    </row>
    <row r="191" spans="1:12">
      <c r="A191" s="14" t="s">
        <v>2112</v>
      </c>
      <c r="C191" s="211" t="s">
        <v>2145</v>
      </c>
      <c r="I191" s="42" t="s">
        <v>2146</v>
      </c>
      <c r="L191" s="10" t="str">
        <f t="shared" si="2"/>
        <v xml:space="preserve">Sur les débits </v>
      </c>
    </row>
    <row r="192" spans="1:12">
      <c r="A192" s="14" t="s">
        <v>2112</v>
      </c>
      <c r="C192" s="211" t="s">
        <v>2147</v>
      </c>
      <c r="I192" s="42" t="s">
        <v>2148</v>
      </c>
      <c r="L192" s="10" t="str">
        <f t="shared" ref="L192:L233" si="3">IF($E$1=$C$2,C192,IF($E$1=$E$2,E192,IF($E$1=$F$2,F192,IF($E$1=$G$2,G192,IF($E$1=$H$2,H192,IF($E$1=$I$2,I192,IF($E$1=$J$2,J192,IF($E$1=$K$2,K192,C192))))))))</f>
        <v>Facturation d’honoraires ? (oui /non)</v>
      </c>
    </row>
    <row r="193" spans="1:12">
      <c r="A193" s="14" t="s">
        <v>2112</v>
      </c>
      <c r="C193" s="211" t="s">
        <v>2149</v>
      </c>
      <c r="I193" s="42" t="s">
        <v>2150</v>
      </c>
      <c r="L193" s="10" t="str">
        <f t="shared" si="3"/>
        <v>Acompte obligatoire ? (oui /non)</v>
      </c>
    </row>
    <row r="194" spans="1:12">
      <c r="A194" s="14" t="s">
        <v>2112</v>
      </c>
      <c r="C194" s="211" t="s">
        <v>2151</v>
      </c>
      <c r="I194" s="42" t="s">
        <v>2152</v>
      </c>
      <c r="L194" s="10" t="str">
        <f t="shared" si="3"/>
        <v>% de la commande</v>
      </c>
    </row>
    <row r="195" spans="1:12" ht="138">
      <c r="A195" s="14" t="s">
        <v>2112</v>
      </c>
      <c r="C195" s="98" t="s">
        <v>2153</v>
      </c>
      <c r="I195" s="42" t="s">
        <v>2154</v>
      </c>
      <c r="L195" s="10" t="str">
        <f t="shared" si="3"/>
        <v xml:space="preserve">Cette fiche doit être retournée avec 
     -  un K-BIS daté de moins de 3 mois
     -  un RIB original complet, en format PDF s’il est transmis par mail. 
Le titulaire du compte bancaire doit obligatoirement correspondre à l’établissement facturant sauf en cas de recours à une société d’affacturage (les informations concernant le factor devront être fournies de manière précise).
</v>
      </c>
    </row>
    <row r="196" spans="1:12">
      <c r="A196" s="14" t="s">
        <v>2112</v>
      </c>
      <c r="C196" s="211" t="s">
        <v>2155</v>
      </c>
      <c r="I196" s="42" t="s">
        <v>2156</v>
      </c>
      <c r="L196" s="10" t="str">
        <f t="shared" si="3"/>
        <v>Contact général e-mail</v>
      </c>
    </row>
    <row r="197" spans="1:12">
      <c r="A197" s="14" t="s">
        <v>2112</v>
      </c>
      <c r="C197" s="42" t="s">
        <v>919</v>
      </c>
      <c r="I197" s="42" t="s">
        <v>924</v>
      </c>
      <c r="L197" s="10" t="str">
        <f t="shared" si="3"/>
        <v>Nom</v>
      </c>
    </row>
    <row r="198" spans="1:12">
      <c r="A198" s="14" t="s">
        <v>2112</v>
      </c>
      <c r="C198" s="42" t="s">
        <v>2157</v>
      </c>
      <c r="D198" s="207"/>
      <c r="E198" s="3"/>
      <c r="F198" s="3"/>
      <c r="G198" s="3"/>
      <c r="H198" s="3"/>
      <c r="I198" s="42" t="s">
        <v>2158</v>
      </c>
      <c r="L198" s="10" t="str">
        <f t="shared" si="3"/>
        <v>Contact commercial</v>
      </c>
    </row>
    <row r="199" spans="1:12">
      <c r="A199" s="14" t="s">
        <v>2112</v>
      </c>
      <c r="C199" s="42" t="s">
        <v>2159</v>
      </c>
      <c r="D199" s="207"/>
      <c r="E199" s="3"/>
      <c r="F199" s="3"/>
      <c r="G199" s="3"/>
      <c r="H199" s="3"/>
      <c r="I199" s="42" t="s">
        <v>2160</v>
      </c>
      <c r="L199" s="10" t="str">
        <f t="shared" si="3"/>
        <v>Contact comptable</v>
      </c>
    </row>
    <row r="200" spans="1:12">
      <c r="A200" s="14" t="s">
        <v>2112</v>
      </c>
      <c r="C200" s="42" t="s">
        <v>2161</v>
      </c>
      <c r="I200" s="42" t="s">
        <v>2162</v>
      </c>
      <c r="L200" s="10" t="str">
        <f t="shared" si="3"/>
        <v>Autres</v>
      </c>
    </row>
    <row r="201" spans="1:12">
      <c r="A201" s="14" t="s">
        <v>2112</v>
      </c>
      <c r="C201" s="129" t="s">
        <v>2163</v>
      </c>
      <c r="I201" s="146" t="s">
        <v>2164</v>
      </c>
      <c r="L201" s="10" t="str">
        <f t="shared" si="3"/>
        <v>Montant HT de l’achat</v>
      </c>
    </row>
    <row r="202" spans="1:12">
      <c r="A202" s="14" t="s">
        <v>2112</v>
      </c>
      <c r="C202" s="129" t="s">
        <v>2165</v>
      </c>
      <c r="I202" s="146" t="s">
        <v>2166</v>
      </c>
      <c r="L202" s="10" t="str">
        <f t="shared" si="3"/>
        <v>Montant HT prévu annuallement</v>
      </c>
    </row>
    <row r="203" spans="1:12">
      <c r="A203" s="14" t="s">
        <v>2112</v>
      </c>
      <c r="C203" s="129" t="s">
        <v>2167</v>
      </c>
      <c r="I203" s="146" t="s">
        <v>2168</v>
      </c>
      <c r="L203" s="10" t="str">
        <f t="shared" si="3"/>
        <v>Montant TTC prévu annuallement</v>
      </c>
    </row>
    <row r="204" spans="1:12" s="8" customFormat="1" ht="28.8">
      <c r="A204" s="14" t="s">
        <v>2112</v>
      </c>
      <c r="C204" s="89" t="s">
        <v>2169</v>
      </c>
      <c r="I204" s="101" t="s">
        <v>2170</v>
      </c>
      <c r="L204" s="10" t="str">
        <f t="shared" si="3"/>
        <v>Contact pour l'invitation à l'attestation électronique</v>
      </c>
    </row>
    <row r="205" spans="1:12">
      <c r="A205" s="14" t="s">
        <v>2112</v>
      </c>
      <c r="C205" s="129" t="s">
        <v>2171</v>
      </c>
      <c r="I205" s="129" t="s">
        <v>2172</v>
      </c>
      <c r="L205" s="10" t="str">
        <f t="shared" si="3"/>
        <v>Description de l’achat</v>
      </c>
    </row>
    <row r="206" spans="1:12" ht="21" customHeight="1">
      <c r="A206" s="14" t="s">
        <v>1483</v>
      </c>
      <c r="B206" s="13" t="s">
        <v>130</v>
      </c>
      <c r="C206" s="10" t="s">
        <v>1484</v>
      </c>
      <c r="D206" s="168" t="s">
        <v>132</v>
      </c>
      <c r="I206" s="99" t="s">
        <v>1489</v>
      </c>
      <c r="L206" s="10" t="str">
        <f t="shared" si="3"/>
        <v>Adresse e-mail du compte utilisateur</v>
      </c>
    </row>
    <row r="207" spans="1:12" ht="57.6">
      <c r="A207" s="14" t="s">
        <v>1492</v>
      </c>
      <c r="B207" s="13" t="s">
        <v>130</v>
      </c>
      <c r="C207" s="89" t="s">
        <v>1493</v>
      </c>
      <c r="D207" s="168" t="s">
        <v>132</v>
      </c>
      <c r="I207" s="101" t="s">
        <v>1498</v>
      </c>
      <c r="L207" s="10" t="str">
        <f t="shared" si="3"/>
        <v>(Vous aurez accès à la configuration du profil du fournisseur et aux informations bancaires dans le portail des fournisseurs - lorsqu'elles seront disponibles.)</v>
      </c>
    </row>
    <row r="208" spans="1:12" ht="28.8">
      <c r="A208" s="14" t="s">
        <v>1501</v>
      </c>
      <c r="B208" s="13" t="s">
        <v>130</v>
      </c>
      <c r="C208" s="10" t="s">
        <v>1502</v>
      </c>
      <c r="D208" s="168" t="s">
        <v>132</v>
      </c>
      <c r="I208" s="146" t="s">
        <v>1507</v>
      </c>
      <c r="L208" s="10" t="str">
        <f t="shared" si="3"/>
        <v>Dépenses annuelles estimées auprès du fournisseur (USD) :</v>
      </c>
    </row>
    <row r="209" spans="1:12" ht="92.25" customHeight="1">
      <c r="A209" s="14" t="s">
        <v>1501</v>
      </c>
      <c r="B209" s="13" t="s">
        <v>130</v>
      </c>
      <c r="C209" s="10" t="s">
        <v>1510</v>
      </c>
      <c r="D209" s="168" t="s">
        <v>132</v>
      </c>
      <c r="I209" s="101" t="s">
        <v>1515</v>
      </c>
      <c r="L209" s="10" t="str">
        <f t="shared" si="3"/>
        <v>Pensez-vous que ce fournisseur est ou deviendra bientôt l'un des 1 % des fournisseurs critiques du point de vue de la résilience commerciale pour votre secteur d'activité RELX (RELX Corp, Elsevier, LNLP, Risk ou RX) ?</v>
      </c>
    </row>
    <row r="210" spans="1:12" ht="33.75" customHeight="1">
      <c r="A210" s="14" t="s">
        <v>1501</v>
      </c>
      <c r="B210" s="13" t="s">
        <v>130</v>
      </c>
      <c r="C210" s="10" t="s">
        <v>1518</v>
      </c>
      <c r="D210" s="168" t="s">
        <v>132</v>
      </c>
      <c r="I210" s="101" t="s">
        <v>1523</v>
      </c>
      <c r="L210" s="10" t="str">
        <f t="shared" si="3"/>
        <v>La durée initiale du contrat avec le fournisseur sera-t-elle d’un an ou moins ?</v>
      </c>
    </row>
    <row r="211" spans="1:12" ht="28.8">
      <c r="A211" s="14" t="s">
        <v>1501</v>
      </c>
      <c r="B211" s="13" t="s">
        <v>130</v>
      </c>
      <c r="C211" s="10" t="s">
        <v>1526</v>
      </c>
      <c r="D211" s="168" t="s">
        <v>132</v>
      </c>
      <c r="I211" s="101" t="s">
        <v>1531</v>
      </c>
      <c r="L211" s="10" t="str">
        <f t="shared" si="3"/>
        <v>Un contrat est-il enregistré auprès de ce fournisseur ?</v>
      </c>
    </row>
    <row r="212" spans="1:12">
      <c r="A212" s="14" t="s">
        <v>1501</v>
      </c>
      <c r="B212" s="13" t="s">
        <v>130</v>
      </c>
      <c r="C212" s="10" t="s">
        <v>1534</v>
      </c>
      <c r="D212" s="168" t="s">
        <v>132</v>
      </c>
      <c r="I212" s="101" t="s">
        <v>1539</v>
      </c>
      <c r="L212" s="10" t="str">
        <f t="shared" si="3"/>
        <v>En cours</v>
      </c>
    </row>
    <row r="213" spans="1:12">
      <c r="A213" s="14" t="s">
        <v>1542</v>
      </c>
      <c r="B213" s="13" t="s">
        <v>130</v>
      </c>
      <c r="C213" s="10" t="s">
        <v>1543</v>
      </c>
      <c r="D213" s="168" t="s">
        <v>132</v>
      </c>
      <c r="I213" s="101" t="s">
        <v>1548</v>
      </c>
      <c r="L213" s="10" t="str">
        <f t="shared" si="3"/>
        <v>BU Achats</v>
      </c>
    </row>
    <row r="214" spans="1:12">
      <c r="A214" s="14" t="s">
        <v>1551</v>
      </c>
      <c r="B214" s="13" t="s">
        <v>130</v>
      </c>
      <c r="C214" s="10" t="s">
        <v>1552</v>
      </c>
      <c r="D214" s="168" t="s">
        <v>132</v>
      </c>
      <c r="I214" s="102" t="s">
        <v>1557</v>
      </c>
      <c r="L214" s="10" t="str">
        <f t="shared" si="3"/>
        <v>Type d'organisation</v>
      </c>
    </row>
    <row r="215" spans="1:12">
      <c r="A215" s="14" t="s">
        <v>1551</v>
      </c>
      <c r="B215" s="13" t="s">
        <v>130</v>
      </c>
      <c r="C215" s="10" t="s">
        <v>1560</v>
      </c>
      <c r="D215" s="168" t="s">
        <v>132</v>
      </c>
      <c r="I215" s="102" t="s">
        <v>1560</v>
      </c>
      <c r="L215" s="10" t="str">
        <f t="shared" si="3"/>
        <v>Corporation</v>
      </c>
    </row>
    <row r="216" spans="1:12">
      <c r="A216" s="14" t="s">
        <v>1551</v>
      </c>
      <c r="B216" s="13" t="s">
        <v>130</v>
      </c>
      <c r="C216" s="10" t="s">
        <v>1565</v>
      </c>
      <c r="D216" s="168" t="s">
        <v>132</v>
      </c>
      <c r="I216" s="102" t="s">
        <v>1570</v>
      </c>
      <c r="L216" s="10" t="str">
        <f t="shared" si="3"/>
        <v>Société étrangère</v>
      </c>
    </row>
    <row r="217" spans="1:12">
      <c r="A217" s="14" t="s">
        <v>1551</v>
      </c>
      <c r="B217" s="13" t="s">
        <v>130</v>
      </c>
      <c r="C217" s="10" t="s">
        <v>1573</v>
      </c>
      <c r="D217" s="168" t="s">
        <v>132</v>
      </c>
      <c r="I217" s="102" t="s">
        <v>1578</v>
      </c>
      <c r="L217" s="10" t="str">
        <f t="shared" si="3"/>
        <v>Agence gouvernementale étrangère</v>
      </c>
    </row>
    <row r="218" spans="1:12">
      <c r="A218" s="14" t="s">
        <v>1551</v>
      </c>
      <c r="B218" s="13" t="s">
        <v>130</v>
      </c>
      <c r="C218" s="10" t="s">
        <v>1581</v>
      </c>
      <c r="D218" s="168" t="s">
        <v>132</v>
      </c>
      <c r="I218" s="102" t="s">
        <v>1586</v>
      </c>
      <c r="L218" s="10" t="str">
        <f t="shared" si="3"/>
        <v>Particulier étranger</v>
      </c>
    </row>
    <row r="219" spans="1:12">
      <c r="A219" s="14" t="s">
        <v>1551</v>
      </c>
      <c r="B219" s="13" t="s">
        <v>130</v>
      </c>
      <c r="C219" s="10" t="s">
        <v>1589</v>
      </c>
      <c r="D219" s="168" t="s">
        <v>132</v>
      </c>
      <c r="I219" s="102" t="s">
        <v>1594</v>
      </c>
      <c r="L219" s="10" t="str">
        <f t="shared" si="3"/>
        <v>Partenariat étranger</v>
      </c>
    </row>
    <row r="220" spans="1:12">
      <c r="A220" s="14" t="s">
        <v>1551</v>
      </c>
      <c r="B220" s="13" t="s">
        <v>130</v>
      </c>
      <c r="C220" s="10" t="s">
        <v>1597</v>
      </c>
      <c r="D220" s="168" t="s">
        <v>132</v>
      </c>
      <c r="I220" s="102" t="s">
        <v>1602</v>
      </c>
      <c r="L220" s="10" t="str">
        <f t="shared" si="3"/>
        <v>Agence gouvernementale</v>
      </c>
    </row>
    <row r="221" spans="1:12">
      <c r="A221" s="14" t="s">
        <v>1551</v>
      </c>
      <c r="B221" s="13" t="s">
        <v>130</v>
      </c>
      <c r="C221" s="10" t="s">
        <v>1467</v>
      </c>
      <c r="D221" s="168" t="s">
        <v>132</v>
      </c>
      <c r="I221" s="102" t="s">
        <v>1605</v>
      </c>
      <c r="L221" s="10" t="str">
        <f t="shared" si="3"/>
        <v>Individuel</v>
      </c>
    </row>
    <row r="222" spans="1:12">
      <c r="A222" s="14" t="s">
        <v>1551</v>
      </c>
      <c r="B222" s="13" t="s">
        <v>130</v>
      </c>
      <c r="C222" s="10" t="s">
        <v>1607</v>
      </c>
      <c r="D222" s="168" t="s">
        <v>132</v>
      </c>
      <c r="I222" s="102" t="s">
        <v>1612</v>
      </c>
      <c r="L222" s="10" t="str">
        <f t="shared" si="3"/>
        <v>Partenariat</v>
      </c>
    </row>
    <row r="223" spans="1:12">
      <c r="A223" s="14" t="s">
        <v>1615</v>
      </c>
      <c r="B223" s="13" t="s">
        <v>130</v>
      </c>
      <c r="C223" s="10" t="s">
        <v>1616</v>
      </c>
      <c r="D223" s="168" t="s">
        <v>132</v>
      </c>
      <c r="I223" s="102" t="s">
        <v>1621</v>
      </c>
      <c r="L223" s="10" t="str">
        <f t="shared" si="3"/>
        <v>Classification des entreprises</v>
      </c>
    </row>
    <row r="224" spans="1:12">
      <c r="A224" s="14" t="s">
        <v>1615</v>
      </c>
      <c r="B224" s="13" t="s">
        <v>130</v>
      </c>
      <c r="C224" s="10" t="s">
        <v>1624</v>
      </c>
      <c r="D224" s="168" t="s">
        <v>132</v>
      </c>
      <c r="I224" s="102" t="s">
        <v>1624</v>
      </c>
      <c r="L224" s="10" t="str">
        <f t="shared" si="3"/>
        <v>8A - 8A</v>
      </c>
    </row>
    <row r="225" spans="1:12" ht="28.8">
      <c r="A225" s="14" t="s">
        <v>1615</v>
      </c>
      <c r="B225" s="13" t="s">
        <v>130</v>
      </c>
      <c r="C225" s="10" t="s">
        <v>1625</v>
      </c>
      <c r="D225" s="168" t="s">
        <v>132</v>
      </c>
      <c r="I225" s="101" t="s">
        <v>1630</v>
      </c>
      <c r="L225" s="10" t="str">
        <f t="shared" si="3"/>
        <v>Autonomisation économique des Noirs à grande échelle</v>
      </c>
    </row>
    <row r="226" spans="1:12">
      <c r="A226" s="14" t="s">
        <v>1615</v>
      </c>
      <c r="B226" s="13" t="s">
        <v>130</v>
      </c>
      <c r="C226" s="10" t="s">
        <v>1633</v>
      </c>
      <c r="D226" s="168" t="s">
        <v>132</v>
      </c>
      <c r="I226" s="101" t="s">
        <v>1638</v>
      </c>
      <c r="L226" s="10" t="str">
        <f t="shared" si="3"/>
        <v>Zone HUB</v>
      </c>
    </row>
    <row r="227" spans="1:12">
      <c r="A227" s="14" t="s">
        <v>1615</v>
      </c>
      <c r="B227" s="13" t="s">
        <v>130</v>
      </c>
      <c r="C227" s="10" t="s">
        <v>1641</v>
      </c>
      <c r="D227" s="168" t="s">
        <v>132</v>
      </c>
      <c r="I227" s="101" t="s">
        <v>1641</v>
      </c>
      <c r="L227" s="10" t="str">
        <f t="shared" si="3"/>
        <v>LGBT+ - LGBTBE</v>
      </c>
    </row>
    <row r="228" spans="1:12">
      <c r="A228" s="14" t="s">
        <v>1615</v>
      </c>
      <c r="B228" s="13" t="s">
        <v>130</v>
      </c>
      <c r="C228" s="10" t="s">
        <v>1642</v>
      </c>
      <c r="D228" s="168" t="s">
        <v>132</v>
      </c>
      <c r="I228" s="101" t="s">
        <v>1647</v>
      </c>
      <c r="L228" s="10" t="str">
        <f t="shared" si="3"/>
        <v>Micro Petite Moyenne Entreprise</v>
      </c>
    </row>
    <row r="229" spans="1:12">
      <c r="A229" s="14" t="s">
        <v>1615</v>
      </c>
      <c r="B229" s="13" t="s">
        <v>130</v>
      </c>
      <c r="C229" s="10" t="s">
        <v>1650</v>
      </c>
      <c r="D229" s="168" t="s">
        <v>132</v>
      </c>
      <c r="I229" s="101" t="s">
        <v>1655</v>
      </c>
      <c r="L229" s="10" t="str">
        <f t="shared" si="3"/>
        <v>Propriété minoritaire</v>
      </c>
    </row>
    <row r="230" spans="1:12">
      <c r="A230" s="14" t="s">
        <v>1615</v>
      </c>
      <c r="B230" s="13" t="s">
        <v>130</v>
      </c>
      <c r="C230" s="10" t="s">
        <v>1658</v>
      </c>
      <c r="D230" s="168" t="s">
        <v>132</v>
      </c>
      <c r="I230" s="101" t="s">
        <v>1663</v>
      </c>
      <c r="L230" s="10" t="str">
        <f t="shared" si="3"/>
        <v>Propriété d'anciens combattants handicapés</v>
      </c>
    </row>
    <row r="231" spans="1:12">
      <c r="A231" s="14" t="s">
        <v>1615</v>
      </c>
      <c r="B231" s="13" t="s">
        <v>130</v>
      </c>
      <c r="C231" s="10" t="s">
        <v>1666</v>
      </c>
      <c r="D231" s="168" t="s">
        <v>132</v>
      </c>
      <c r="I231" s="101" t="s">
        <v>1671</v>
      </c>
      <c r="L231" s="10" t="str">
        <f t="shared" si="3"/>
        <v>Anciens combattants handicapés</v>
      </c>
    </row>
    <row r="232" spans="1:12">
      <c r="A232" s="14" t="s">
        <v>1615</v>
      </c>
      <c r="B232" s="13" t="s">
        <v>130</v>
      </c>
      <c r="C232" s="10" t="s">
        <v>1674</v>
      </c>
      <c r="D232" s="168" t="s">
        <v>132</v>
      </c>
      <c r="I232" s="101" t="s">
        <v>1678</v>
      </c>
      <c r="L232" s="10" t="str">
        <f t="shared" si="3"/>
        <v>Petites entreprises</v>
      </c>
    </row>
    <row r="233" spans="1:12">
      <c r="A233" s="14" t="s">
        <v>1615</v>
      </c>
      <c r="B233" s="13" t="s">
        <v>130</v>
      </c>
      <c r="C233" s="10" t="s">
        <v>1681</v>
      </c>
      <c r="D233" s="168" t="s">
        <v>132</v>
      </c>
      <c r="I233" s="101" t="s">
        <v>1686</v>
      </c>
      <c r="L233" s="10" t="str">
        <f t="shared" si="3"/>
        <v>Propriété d'anciens combattants</v>
      </c>
    </row>
    <row r="234" spans="1:12">
      <c r="A234" s="14" t="s">
        <v>1615</v>
      </c>
      <c r="B234" s="13" t="s">
        <v>130</v>
      </c>
      <c r="C234" s="10" t="s">
        <v>1689</v>
      </c>
      <c r="D234" s="168" t="s">
        <v>132</v>
      </c>
      <c r="I234" s="102" t="s">
        <v>1694</v>
      </c>
      <c r="L234" s="10" t="str">
        <f>IF($E$1=$C$2,C234,IF($E$1=$E$2,E234,IF($E$1=$F$2,F234,IF($E$1=$G$2,G234,IF($E$1=$H$2,H234,IF($E$1=$I$2,I234,IF($E$1=$J$2,J234,IF($E$1=$K$2,K234,C234))))))))</f>
        <v>Propriété d'une femme</v>
      </c>
    </row>
    <row r="235" spans="1:12">
      <c r="A235" s="14" t="s">
        <v>1697</v>
      </c>
      <c r="B235" s="13" t="s">
        <v>130</v>
      </c>
      <c r="C235" s="10" t="s">
        <v>1698</v>
      </c>
      <c r="D235" s="168" t="s">
        <v>132</v>
      </c>
      <c r="I235" s="101" t="s">
        <v>1703</v>
      </c>
      <c r="L235" s="10" t="str">
        <f t="shared" ref="L235:L283" si="4">IF($E$1=$C$2,C235,IF($E$1=$E$2,E235,IF($E$1=$F$2,F235,IF($E$1=$G$2,G235,IF($E$1=$H$2,H235,IF($E$1=$I$2,I235,IF($E$1=$J$2,J235,IF($E$1=$K$2,K235,C235))))))))</f>
        <v>Produits et services :</v>
      </c>
    </row>
    <row r="236" spans="1:12">
      <c r="A236" s="14" t="s">
        <v>1697</v>
      </c>
      <c r="B236" s="13" t="s">
        <v>130</v>
      </c>
      <c r="C236" s="10" t="s">
        <v>1706</v>
      </c>
      <c r="D236" s="168" t="s">
        <v>132</v>
      </c>
      <c r="I236" s="101" t="s">
        <v>1711</v>
      </c>
      <c r="L236" s="10" t="str">
        <f t="shared" si="4"/>
        <v>Nuage</v>
      </c>
    </row>
    <row r="237" spans="1:12">
      <c r="A237" s="14" t="s">
        <v>1697</v>
      </c>
      <c r="B237" s="13" t="s">
        <v>130</v>
      </c>
      <c r="C237" s="10" t="s">
        <v>1714</v>
      </c>
      <c r="D237" s="168" t="s">
        <v>132</v>
      </c>
      <c r="I237" s="101" t="s">
        <v>1719</v>
      </c>
      <c r="L237" s="10" t="str">
        <f t="shared" si="4"/>
        <v>Consultant</v>
      </c>
    </row>
    <row r="238" spans="1:12">
      <c r="A238" s="14" t="s">
        <v>1697</v>
      </c>
      <c r="B238" s="13" t="s">
        <v>130</v>
      </c>
      <c r="C238" s="10" t="s">
        <v>1722</v>
      </c>
      <c r="D238" s="168" t="s">
        <v>132</v>
      </c>
      <c r="I238" s="101" t="s">
        <v>1727</v>
      </c>
      <c r="L238" s="10" t="str">
        <f t="shared" si="4"/>
        <v>Contenu</v>
      </c>
    </row>
    <row r="239" spans="1:12">
      <c r="A239" s="14" t="s">
        <v>1697</v>
      </c>
      <c r="B239" s="13" t="s">
        <v>130</v>
      </c>
      <c r="C239" s="10" t="s">
        <v>1730</v>
      </c>
      <c r="D239" s="168" t="s">
        <v>132</v>
      </c>
      <c r="I239" s="101" t="s">
        <v>1735</v>
      </c>
      <c r="L239" s="10" t="str">
        <f t="shared" si="4"/>
        <v>Logiciel de marketing numérique</v>
      </c>
    </row>
    <row r="240" spans="1:12">
      <c r="A240" s="14" t="s">
        <v>1697</v>
      </c>
      <c r="B240" s="13" t="s">
        <v>130</v>
      </c>
      <c r="C240" s="10" t="s">
        <v>1738</v>
      </c>
      <c r="D240" s="168" t="s">
        <v>132</v>
      </c>
      <c r="I240" s="101" t="s">
        <v>1738</v>
      </c>
      <c r="L240" s="10" t="str">
        <f t="shared" si="4"/>
        <v>Distribution</v>
      </c>
    </row>
    <row r="241" spans="1:12" ht="28.8">
      <c r="A241" s="14" t="s">
        <v>1697</v>
      </c>
      <c r="B241" s="13" t="s">
        <v>130</v>
      </c>
      <c r="C241" s="10" t="s">
        <v>1745</v>
      </c>
      <c r="D241" s="168" t="s">
        <v>132</v>
      </c>
      <c r="I241" s="101" t="s">
        <v>1750</v>
      </c>
      <c r="L241" s="10" t="str">
        <f t="shared" si="4"/>
        <v>Services éditoriaux, de production et d'exploitation</v>
      </c>
    </row>
    <row r="242" spans="1:12">
      <c r="A242" s="14" t="s">
        <v>1697</v>
      </c>
      <c r="B242" s="13" t="s">
        <v>130</v>
      </c>
      <c r="C242" s="10" t="s">
        <v>1753</v>
      </c>
      <c r="D242" s="168" t="s">
        <v>132</v>
      </c>
      <c r="I242" s="101" t="s">
        <v>1758</v>
      </c>
      <c r="L242" s="10" t="str">
        <f t="shared" si="4"/>
        <v>Installations et services immobiliers</v>
      </c>
    </row>
    <row r="243" spans="1:12">
      <c r="A243" s="14" t="s">
        <v>1697</v>
      </c>
      <c r="B243" s="13" t="s">
        <v>130</v>
      </c>
      <c r="C243" s="10" t="s">
        <v>1761</v>
      </c>
      <c r="D243" s="168" t="s">
        <v>132</v>
      </c>
      <c r="I243" s="101" t="s">
        <v>1766</v>
      </c>
      <c r="L243" s="10" t="str">
        <f t="shared" si="4"/>
        <v>Services RH</v>
      </c>
    </row>
    <row r="244" spans="1:12">
      <c r="A244" s="14" t="s">
        <v>1697</v>
      </c>
      <c r="B244" s="13" t="s">
        <v>130</v>
      </c>
      <c r="C244" s="10" t="s">
        <v>1769</v>
      </c>
      <c r="D244" s="168" t="s">
        <v>132</v>
      </c>
      <c r="I244" s="101" t="s">
        <v>1773</v>
      </c>
      <c r="L244" s="10" t="str">
        <f t="shared" si="4"/>
        <v>Commercialisation</v>
      </c>
    </row>
    <row r="245" spans="1:12">
      <c r="A245" s="14" t="s">
        <v>1697</v>
      </c>
      <c r="B245" s="13" t="s">
        <v>130</v>
      </c>
      <c r="C245" s="10" t="s">
        <v>1774</v>
      </c>
      <c r="D245" s="168" t="s">
        <v>132</v>
      </c>
      <c r="I245" s="101" t="s">
        <v>1774</v>
      </c>
      <c r="L245" s="10" t="str">
        <f t="shared" si="4"/>
        <v>Mobile</v>
      </c>
    </row>
    <row r="246" spans="1:12">
      <c r="A246" s="14" t="s">
        <v>1697</v>
      </c>
      <c r="B246" s="13" t="s">
        <v>130</v>
      </c>
      <c r="C246" s="10" t="s">
        <v>1780</v>
      </c>
      <c r="D246" s="168" t="s">
        <v>132</v>
      </c>
      <c r="I246" s="101" t="s">
        <v>1785</v>
      </c>
      <c r="L246" s="10" t="str">
        <f t="shared" si="4"/>
        <v>Impression et papier</v>
      </c>
    </row>
    <row r="247" spans="1:12">
      <c r="A247" s="14" t="s">
        <v>1697</v>
      </c>
      <c r="B247" s="13" t="s">
        <v>130</v>
      </c>
      <c r="C247" s="10" t="s">
        <v>1788</v>
      </c>
      <c r="D247" s="168" t="s">
        <v>132</v>
      </c>
      <c r="I247" s="101" t="s">
        <v>1793</v>
      </c>
      <c r="L247" s="10" t="str">
        <f t="shared" si="4"/>
        <v>Services professionnels</v>
      </c>
    </row>
    <row r="248" spans="1:12">
      <c r="A248" s="14" t="s">
        <v>1697</v>
      </c>
      <c r="B248" s="13" t="s">
        <v>130</v>
      </c>
      <c r="C248" s="10" t="s">
        <v>1796</v>
      </c>
      <c r="D248" s="168" t="s">
        <v>132</v>
      </c>
      <c r="I248" s="101" t="s">
        <v>1801</v>
      </c>
      <c r="L248" s="10" t="str">
        <f t="shared" si="4"/>
        <v>Logiciel</v>
      </c>
    </row>
    <row r="249" spans="1:12">
      <c r="A249" s="14" t="s">
        <v>1697</v>
      </c>
      <c r="B249" s="13" t="s">
        <v>130</v>
      </c>
      <c r="C249" s="10" t="s">
        <v>1802</v>
      </c>
      <c r="D249" s="168" t="s">
        <v>132</v>
      </c>
      <c r="I249" s="101" t="s">
        <v>1807</v>
      </c>
      <c r="L249" s="10" t="str">
        <f t="shared" si="4"/>
        <v>Matériel technologique</v>
      </c>
    </row>
    <row r="250" spans="1:12">
      <c r="A250" s="14" t="s">
        <v>1697</v>
      </c>
      <c r="B250" s="13" t="s">
        <v>130</v>
      </c>
      <c r="C250" s="10" t="s">
        <v>1810</v>
      </c>
      <c r="D250" s="168" t="s">
        <v>132</v>
      </c>
      <c r="I250" s="101" t="s">
        <v>1815</v>
      </c>
      <c r="L250" s="10" t="str">
        <f t="shared" si="4"/>
        <v>Revendeurs de technologie</v>
      </c>
    </row>
    <row r="251" spans="1:12">
      <c r="A251" s="14" t="s">
        <v>1697</v>
      </c>
      <c r="B251" s="13" t="s">
        <v>130</v>
      </c>
      <c r="C251" s="10" t="s">
        <v>1818</v>
      </c>
      <c r="D251" s="168" t="s">
        <v>132</v>
      </c>
      <c r="I251" s="101" t="s">
        <v>1823</v>
      </c>
      <c r="L251" s="10" t="str">
        <f t="shared" si="4"/>
        <v>Services technologiques</v>
      </c>
    </row>
    <row r="252" spans="1:12">
      <c r="A252" s="14" t="s">
        <v>1697</v>
      </c>
      <c r="B252" s="13" t="s">
        <v>130</v>
      </c>
      <c r="C252" s="10" t="s">
        <v>1826</v>
      </c>
      <c r="D252" s="168" t="s">
        <v>132</v>
      </c>
      <c r="I252" s="101" t="s">
        <v>1831</v>
      </c>
      <c r="L252" s="10" t="str">
        <f t="shared" si="4"/>
        <v>Télécoms et réseaux</v>
      </c>
    </row>
    <row r="253" spans="1:12">
      <c r="A253" s="14" t="s">
        <v>1697</v>
      </c>
      <c r="B253" s="13" t="s">
        <v>130</v>
      </c>
      <c r="C253" s="10" t="s">
        <v>1834</v>
      </c>
      <c r="D253" s="168" t="s">
        <v>132</v>
      </c>
      <c r="I253" s="101" t="s">
        <v>1839</v>
      </c>
      <c r="L253" s="10" t="str">
        <f t="shared" si="4"/>
        <v>Voyages, réunions et expositions</v>
      </c>
    </row>
    <row r="254" spans="1:12">
      <c r="A254" s="14" t="s">
        <v>1697</v>
      </c>
      <c r="B254" s="13" t="s">
        <v>130</v>
      </c>
      <c r="C254" s="10" t="s">
        <v>1842</v>
      </c>
      <c r="D254" s="168" t="s">
        <v>132</v>
      </c>
      <c r="I254" s="101" t="s">
        <v>1847</v>
      </c>
      <c r="L254" s="10" t="str">
        <f t="shared" si="4"/>
        <v>Services de main-d'œuvre</v>
      </c>
    </row>
    <row r="255" spans="1:12" ht="28.8">
      <c r="A255" s="14" t="s">
        <v>1697</v>
      </c>
      <c r="B255" s="13" t="s">
        <v>130</v>
      </c>
      <c r="C255" s="10" t="s">
        <v>1849</v>
      </c>
      <c r="D255" s="168" t="s">
        <v>132</v>
      </c>
      <c r="I255" s="101" t="s">
        <v>1854</v>
      </c>
      <c r="L255" s="10" t="str">
        <f t="shared" si="4"/>
        <v>Services d'infrastructure et de plateforme fournis par les fournisseurs de cloud (IaaS, PaaS)</v>
      </c>
    </row>
    <row r="256" spans="1:12">
      <c r="A256" s="14" t="s">
        <v>1697</v>
      </c>
      <c r="B256" s="13" t="s">
        <v>130</v>
      </c>
      <c r="C256" s="10" t="s">
        <v>1857</v>
      </c>
      <c r="D256" s="168" t="s">
        <v>132</v>
      </c>
      <c r="I256" s="101" t="s">
        <v>1862</v>
      </c>
      <c r="L256" s="10" t="str">
        <f t="shared" si="4"/>
        <v>Conseil en gestion, services de conseil</v>
      </c>
    </row>
    <row r="257" spans="1:12" ht="28.8">
      <c r="A257" s="14" t="s">
        <v>1697</v>
      </c>
      <c r="B257" s="13" t="s">
        <v>130</v>
      </c>
      <c r="C257" s="10" t="s">
        <v>1865</v>
      </c>
      <c r="D257" s="168" t="s">
        <v>132</v>
      </c>
      <c r="I257" s="101" t="s">
        <v>1870</v>
      </c>
      <c r="L257" s="10" t="str">
        <f t="shared" si="4"/>
        <v>Acquisition, achat ou licence de données ou de contenu</v>
      </c>
    </row>
    <row r="258" spans="1:12" ht="28.8">
      <c r="A258" s="14" t="s">
        <v>1697</v>
      </c>
      <c r="B258" s="13" t="s">
        <v>130</v>
      </c>
      <c r="C258" s="10" t="s">
        <v>1873</v>
      </c>
      <c r="D258" s="168" t="s">
        <v>132</v>
      </c>
      <c r="I258" s="101" t="s">
        <v>1878</v>
      </c>
      <c r="L258" s="10" t="str">
        <f t="shared" si="4"/>
        <v>Logiciel principalement utilisé pour les services marketing</v>
      </c>
    </row>
    <row r="259" spans="1:12" ht="28.8">
      <c r="A259" s="14" t="s">
        <v>1697</v>
      </c>
      <c r="B259" s="13" t="s">
        <v>130</v>
      </c>
      <c r="C259" s="10" t="s">
        <v>1881</v>
      </c>
      <c r="D259" s="168" t="s">
        <v>132</v>
      </c>
      <c r="I259" s="101" t="s">
        <v>1886</v>
      </c>
      <c r="L259" s="10" t="str">
        <f t="shared" si="4"/>
        <v>Courrier, affranchissement, expédition, fret, logistique, exécution et entreposage</v>
      </c>
    </row>
    <row r="260" spans="1:12" ht="43.2">
      <c r="A260" s="14" t="s">
        <v>1697</v>
      </c>
      <c r="B260" s="13" t="s">
        <v>130</v>
      </c>
      <c r="C260" s="10" t="s">
        <v>1889</v>
      </c>
      <c r="D260" s="168" t="s">
        <v>132</v>
      </c>
      <c r="I260" s="101" t="s">
        <v>1894</v>
      </c>
      <c r="L260" s="10" t="str">
        <f t="shared" si="4"/>
        <v>Transformation de données ou de contenu, extraction, web scraping, conversion, composition, révision, relecture et service client</v>
      </c>
    </row>
    <row r="261" spans="1:12" ht="28.8">
      <c r="A261" s="14" t="s">
        <v>1697</v>
      </c>
      <c r="B261" s="13" t="s">
        <v>130</v>
      </c>
      <c r="C261" s="10" t="s">
        <v>1897</v>
      </c>
      <c r="D261" s="168" t="s">
        <v>132</v>
      </c>
      <c r="I261" s="101" t="s">
        <v>1902</v>
      </c>
      <c r="L261" s="10" t="str">
        <f t="shared" si="4"/>
        <v>Rénovation de bureaux, nettoyage, gestion des installations</v>
      </c>
    </row>
    <row r="262" spans="1:12" ht="28.8">
      <c r="A262" s="14" t="s">
        <v>1697</v>
      </c>
      <c r="B262" s="13" t="s">
        <v>130</v>
      </c>
      <c r="C262" s="10" t="s">
        <v>1905</v>
      </c>
      <c r="D262" s="168" t="s">
        <v>132</v>
      </c>
      <c r="I262" s="101" t="s">
        <v>1910</v>
      </c>
      <c r="L262" s="10" t="str">
        <f t="shared" si="4"/>
        <v>Avantages sociaux et programmes pour les employés, formation</v>
      </c>
    </row>
    <row r="263" spans="1:12" ht="57.6">
      <c r="A263" s="14" t="s">
        <v>1697</v>
      </c>
      <c r="B263" s="13" t="s">
        <v>130</v>
      </c>
      <c r="C263" s="10" t="s">
        <v>1913</v>
      </c>
      <c r="D263" s="168" t="s">
        <v>132</v>
      </c>
      <c r="I263" s="101" t="s">
        <v>1918</v>
      </c>
      <c r="L263" s="10" t="str">
        <f t="shared" si="4"/>
        <v>Publicité, Agences/Conception, Droits d'auteur/Traduction, Études de marché, Supports promotionnels, Relations publiques, Télémarketing</v>
      </c>
    </row>
    <row r="264" spans="1:12">
      <c r="A264" s="14" t="s">
        <v>1697</v>
      </c>
      <c r="B264" s="13" t="s">
        <v>130</v>
      </c>
      <c r="C264" s="10" t="s">
        <v>1921</v>
      </c>
      <c r="D264" s="168" t="s">
        <v>132</v>
      </c>
      <c r="I264" s="101" t="s">
        <v>1926</v>
      </c>
      <c r="L264" s="10" t="str">
        <f t="shared" si="4"/>
        <v>Smartphones / appareils mobiles</v>
      </c>
    </row>
    <row r="265" spans="1:12" ht="28.8">
      <c r="A265" s="14" t="s">
        <v>1697</v>
      </c>
      <c r="B265" s="13" t="s">
        <v>130</v>
      </c>
      <c r="C265" s="10" t="s">
        <v>1929</v>
      </c>
      <c r="D265" s="168" t="s">
        <v>132</v>
      </c>
      <c r="I265" s="101" t="s">
        <v>1934</v>
      </c>
      <c r="L265" s="10" t="str">
        <f t="shared" si="4"/>
        <v>Fabrication de produits imprimés et achat de papier</v>
      </c>
    </row>
    <row r="266" spans="1:12">
      <c r="A266" s="14" t="s">
        <v>1697</v>
      </c>
      <c r="B266" s="13" t="s">
        <v>130</v>
      </c>
      <c r="C266" s="10" t="s">
        <v>1937</v>
      </c>
      <c r="D266" s="168" t="s">
        <v>132</v>
      </c>
      <c r="I266" s="101" t="s">
        <v>1942</v>
      </c>
      <c r="L266" s="10" t="str">
        <f t="shared" si="4"/>
        <v>Services juridiques, services financiers</v>
      </c>
    </row>
    <row r="267" spans="1:12" ht="28.8">
      <c r="A267" s="14" t="s">
        <v>1697</v>
      </c>
      <c r="B267" s="13" t="s">
        <v>130</v>
      </c>
      <c r="C267" s="10" t="s">
        <v>1945</v>
      </c>
      <c r="D267" s="168" t="s">
        <v>132</v>
      </c>
      <c r="I267" s="101" t="s">
        <v>1950</v>
      </c>
      <c r="L267" s="10" t="str">
        <f t="shared" si="4"/>
        <v>Logiciels en tant que services, logiciels de bureau, logiciels de serveur</v>
      </c>
    </row>
    <row r="268" spans="1:12" ht="28.8">
      <c r="A268" s="14" t="s">
        <v>1697</v>
      </c>
      <c r="B268" s="13" t="s">
        <v>130</v>
      </c>
      <c r="C268" s="10" t="s">
        <v>1953</v>
      </c>
      <c r="D268" s="168" t="s">
        <v>132</v>
      </c>
      <c r="I268" s="101" t="s">
        <v>1958</v>
      </c>
      <c r="L268" s="10" t="str">
        <f t="shared" si="4"/>
        <v>Ordinateurs, serveurs, imprimantes, écrans, périphériques</v>
      </c>
    </row>
    <row r="269" spans="1:12">
      <c r="A269" s="14" t="s">
        <v>1697</v>
      </c>
      <c r="B269" s="13" t="s">
        <v>130</v>
      </c>
      <c r="C269" s="10" t="s">
        <v>1961</v>
      </c>
      <c r="D269" s="168" t="s">
        <v>132</v>
      </c>
      <c r="I269" s="101" t="s">
        <v>1966</v>
      </c>
      <c r="L269" s="10" t="str">
        <f t="shared" si="4"/>
        <v>Technologie achetée auprès de fournisseurs tiers</v>
      </c>
    </row>
    <row r="270" spans="1:12" ht="28.8">
      <c r="A270" s="14" t="s">
        <v>1697</v>
      </c>
      <c r="B270" s="13" t="s">
        <v>130</v>
      </c>
      <c r="C270" s="10" t="s">
        <v>1969</v>
      </c>
      <c r="D270" s="168" t="s">
        <v>132</v>
      </c>
      <c r="I270" s="101" t="s">
        <v>1974</v>
      </c>
      <c r="L270" s="10" t="str">
        <f t="shared" si="4"/>
        <v>Entrepreneurs et consultants fournissant des services de main-d'œuvre liés à la technologie</v>
      </c>
    </row>
    <row r="271" spans="1:12" ht="28.8">
      <c r="A271" s="14" t="s">
        <v>1697</v>
      </c>
      <c r="B271" s="13" t="s">
        <v>130</v>
      </c>
      <c r="C271" s="10" t="s">
        <v>1977</v>
      </c>
      <c r="D271" s="168" t="s">
        <v>132</v>
      </c>
      <c r="I271" s="101" t="s">
        <v>1982</v>
      </c>
      <c r="L271" s="10" t="str">
        <f t="shared" si="4"/>
        <v>Produits et services liés à la téléphonie et au réseau</v>
      </c>
    </row>
    <row r="272" spans="1:12">
      <c r="A272" s="14" t="s">
        <v>1697</v>
      </c>
      <c r="B272" s="13" t="s">
        <v>130</v>
      </c>
      <c r="C272" s="10" t="s">
        <v>1985</v>
      </c>
      <c r="D272" s="168" t="s">
        <v>132</v>
      </c>
      <c r="I272" s="101" t="s">
        <v>1990</v>
      </c>
      <c r="L272" s="10" t="str">
        <f t="shared" si="4"/>
        <v>Services liés aux voyages</v>
      </c>
    </row>
    <row r="273" spans="1:12" ht="28.8">
      <c r="A273" s="14" t="s">
        <v>1697</v>
      </c>
      <c r="B273" s="13" t="s">
        <v>130</v>
      </c>
      <c r="C273" s="10" t="s">
        <v>1993</v>
      </c>
      <c r="D273" s="168" t="s">
        <v>132</v>
      </c>
      <c r="I273" s="101" t="s">
        <v>1998</v>
      </c>
      <c r="L273" s="10" t="str">
        <f t="shared" si="4"/>
        <v>Recrutement de travailleurs temporaires/intérimaires et permanents</v>
      </c>
    </row>
    <row r="274" spans="1:12">
      <c r="A274" s="254" t="s">
        <v>1112</v>
      </c>
      <c r="B274" s="13" t="s">
        <v>130</v>
      </c>
      <c r="C274" s="256" t="s">
        <v>2001</v>
      </c>
      <c r="D274" s="168" t="s">
        <v>132</v>
      </c>
      <c r="I274" s="102" t="s">
        <v>2006</v>
      </c>
      <c r="L274" s="10" t="str">
        <f t="shared" si="4"/>
        <v>Conférence / Expositions</v>
      </c>
    </row>
    <row r="275" spans="1:12">
      <c r="A275" s="254" t="s">
        <v>1112</v>
      </c>
      <c r="B275" s="13" t="s">
        <v>130</v>
      </c>
      <c r="C275" s="256" t="s">
        <v>2009</v>
      </c>
      <c r="D275" s="168" t="s">
        <v>132</v>
      </c>
      <c r="I275" s="102" t="s">
        <v>2014</v>
      </c>
      <c r="L275" s="10" t="str">
        <f t="shared" si="4"/>
        <v>Dons / Parrainages</v>
      </c>
    </row>
    <row r="276" spans="1:12">
      <c r="A276" s="254" t="s">
        <v>1112</v>
      </c>
      <c r="B276" s="13" t="s">
        <v>130</v>
      </c>
      <c r="C276" s="256" t="s">
        <v>2017</v>
      </c>
      <c r="D276" s="168" t="s">
        <v>132</v>
      </c>
      <c r="I276" s="102" t="s">
        <v>2022</v>
      </c>
      <c r="L276" s="10" t="str">
        <f t="shared" si="4"/>
        <v>Gouvernement / Impôts</v>
      </c>
    </row>
    <row r="277" spans="1:12">
      <c r="A277" s="254" t="s">
        <v>1112</v>
      </c>
      <c r="B277" s="13" t="s">
        <v>130</v>
      </c>
      <c r="C277" s="256" t="s">
        <v>2025</v>
      </c>
      <c r="D277" s="168" t="s">
        <v>132</v>
      </c>
      <c r="I277" s="102" t="s">
        <v>2030</v>
      </c>
      <c r="L277" s="10" t="str">
        <f t="shared" si="4"/>
        <v>Interentreprises</v>
      </c>
    </row>
    <row r="278" spans="1:12">
      <c r="A278" s="254" t="s">
        <v>1112</v>
      </c>
      <c r="B278" s="13" t="s">
        <v>130</v>
      </c>
      <c r="C278" s="256" t="s">
        <v>2033</v>
      </c>
      <c r="D278" s="168" t="s">
        <v>132</v>
      </c>
      <c r="I278" s="102" t="s">
        <v>2038</v>
      </c>
      <c r="L278" s="10" t="str">
        <f t="shared" si="4"/>
        <v>Propriétés</v>
      </c>
    </row>
    <row r="279" spans="1:12">
      <c r="A279" s="254" t="s">
        <v>1112</v>
      </c>
      <c r="B279" s="13" t="s">
        <v>130</v>
      </c>
      <c r="C279" s="256" t="s">
        <v>2041</v>
      </c>
      <c r="D279" s="168" t="s">
        <v>132</v>
      </c>
      <c r="I279" s="102" t="s">
        <v>2046</v>
      </c>
      <c r="L279" s="10" t="str">
        <f t="shared" si="4"/>
        <v>Banque et finance</v>
      </c>
    </row>
    <row r="280" spans="1:12">
      <c r="A280" s="254" t="s">
        <v>1112</v>
      </c>
      <c r="B280" s="13" t="s">
        <v>130</v>
      </c>
      <c r="C280" s="256" t="s">
        <v>2049</v>
      </c>
      <c r="D280" s="168" t="s">
        <v>132</v>
      </c>
      <c r="I280" s="102" t="s">
        <v>2054</v>
      </c>
      <c r="L280" s="10" t="str">
        <f t="shared" si="4"/>
        <v>Sociétés</v>
      </c>
    </row>
    <row r="281" spans="1:12">
      <c r="A281" s="254" t="s">
        <v>1112</v>
      </c>
      <c r="B281" s="13" t="s">
        <v>130</v>
      </c>
      <c r="C281" s="256" t="s">
        <v>2057</v>
      </c>
      <c r="D281" s="168" t="s">
        <v>132</v>
      </c>
      <c r="I281" s="102" t="s">
        <v>2062</v>
      </c>
      <c r="L281" s="10" t="str">
        <f t="shared" si="4"/>
        <v>Abonnement</v>
      </c>
    </row>
    <row r="282" spans="1:12">
      <c r="A282" s="14" t="s">
        <v>2173</v>
      </c>
      <c r="B282" s="13" t="s">
        <v>130</v>
      </c>
      <c r="C282" s="10" t="s">
        <v>2174</v>
      </c>
      <c r="D282" s="168" t="s">
        <v>132</v>
      </c>
      <c r="I282" s="102" t="s">
        <v>2175</v>
      </c>
      <c r="L282" s="10" t="str">
        <f t="shared" si="4"/>
        <v>Numéro de sécurité sociale</v>
      </c>
    </row>
    <row r="283" spans="1:12">
      <c r="A283" s="254" t="s">
        <v>2076</v>
      </c>
      <c r="B283" s="13" t="s">
        <v>130</v>
      </c>
      <c r="C283" s="10" t="s">
        <v>2077</v>
      </c>
      <c r="D283" s="168" t="s">
        <v>132</v>
      </c>
      <c r="I283" s="129" t="s">
        <v>2081</v>
      </c>
      <c r="L283" s="10" t="str">
        <f t="shared" si="4"/>
        <v>Adresse e-mail</v>
      </c>
    </row>
  </sheetData>
  <sheetProtection algorithmName="SHA-512" hashValue="5Q9tMvMTCO7kYw86YBsy1Hwe5XzEj8XZX05/Xz3Ig6LsRoC03fNCpVMnmDhToWO0zzsZe5pVnWL1s3xRQAAwuw==" saltValue="bTvqZ/CnV8IhTW4McawMQg==" spinCount="100000" sheet="1" objects="1" scenarios="1"/>
  <mergeCells count="1">
    <mergeCell ref="A1:C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1701E-B4C5-41D9-B2BA-39A3DEE26545}">
  <sheetPr codeName="Sheet2"/>
  <dimension ref="A1:S94"/>
  <sheetViews>
    <sheetView showGridLines="0" tabSelected="1" zoomScaleNormal="100" workbookViewId="0">
      <selection activeCell="E8" sqref="E8:L8"/>
    </sheetView>
  </sheetViews>
  <sheetFormatPr baseColWidth="10" defaultColWidth="9.109375" defaultRowHeight="14.4"/>
  <cols>
    <col min="1" max="1" width="2.88671875" style="2" customWidth="1"/>
    <col min="2" max="3" width="9.88671875" style="1" customWidth="1"/>
    <col min="4" max="4" width="10.109375" style="1" customWidth="1"/>
    <col min="5" max="5" width="9.88671875" style="1" customWidth="1"/>
    <col min="6" max="6" width="10.109375" style="1" customWidth="1"/>
    <col min="7" max="7" width="2.88671875" style="1" customWidth="1"/>
    <col min="8" max="8" width="8.88671875" style="1" customWidth="1"/>
    <col min="9" max="9" width="10.88671875" style="1" customWidth="1"/>
    <col min="10" max="10" width="10.44140625" style="1" customWidth="1"/>
    <col min="11" max="11" width="12.88671875" style="1" customWidth="1"/>
    <col min="12" max="12" width="1.88671875" style="1" customWidth="1"/>
    <col min="13" max="13" width="4.88671875" style="1" hidden="1" customWidth="1"/>
    <col min="14" max="16384" width="9.109375" style="1"/>
  </cols>
  <sheetData>
    <row r="1" spans="1:14" ht="69.75" customHeight="1">
      <c r="A1" s="506"/>
      <c r="B1" s="507"/>
      <c r="C1" s="507"/>
      <c r="D1" s="507"/>
      <c r="E1" s="507"/>
      <c r="F1" s="507"/>
      <c r="G1" s="507"/>
      <c r="H1" s="507"/>
      <c r="I1" s="507"/>
      <c r="J1" s="507"/>
      <c r="K1" s="507"/>
      <c r="L1" s="508"/>
      <c r="M1" s="1" t="s">
        <v>0</v>
      </c>
    </row>
    <row r="2" spans="1:14" ht="41.25" customHeight="1">
      <c r="A2" s="509" t="str">
        <f>LanguagesA!L10</f>
        <v>ANMELDEFORMULAR FÜR LIEFERANTEN/AUTOREN</v>
      </c>
      <c r="B2" s="510"/>
      <c r="C2" s="510"/>
      <c r="D2" s="510"/>
      <c r="E2" s="510"/>
      <c r="F2" s="510"/>
      <c r="G2" s="510"/>
      <c r="H2" s="510"/>
      <c r="I2" s="510"/>
      <c r="J2" s="510"/>
      <c r="K2" s="510"/>
      <c r="L2" s="511"/>
      <c r="M2" s="1" t="s">
        <v>0</v>
      </c>
    </row>
    <row r="3" spans="1:14" ht="17.100000000000001" customHeight="1" thickBot="1">
      <c r="A3" s="518" t="s">
        <v>2176</v>
      </c>
      <c r="B3" s="519"/>
      <c r="C3" s="519"/>
      <c r="D3" s="519"/>
      <c r="E3" s="519"/>
      <c r="F3" s="519"/>
      <c r="G3" s="519"/>
      <c r="H3" s="519"/>
      <c r="I3" s="519"/>
      <c r="J3" s="519"/>
      <c r="K3" s="519"/>
      <c r="L3" s="165"/>
      <c r="M3" s="1" t="s">
        <v>0</v>
      </c>
    </row>
    <row r="4" spans="1:14" ht="18.600000000000001" thickBot="1">
      <c r="A4" s="120"/>
      <c r="B4" s="504" t="str">
        <f>LanguagesA!L3</f>
        <v>Language (Sprache)</v>
      </c>
      <c r="C4" s="504"/>
      <c r="D4" s="505"/>
      <c r="E4" s="332" t="s">
        <v>127</v>
      </c>
      <c r="F4" s="333"/>
      <c r="G4" s="333"/>
      <c r="H4" s="333"/>
      <c r="I4" s="333"/>
      <c r="J4" s="333"/>
      <c r="K4" s="333"/>
      <c r="L4" s="164"/>
      <c r="M4" s="1" t="s">
        <v>0</v>
      </c>
    </row>
    <row r="5" spans="1:14" s="2" customFormat="1" ht="57" customHeight="1" thickBot="1">
      <c r="A5" s="84" t="s">
        <v>3</v>
      </c>
      <c r="B5" s="375" t="str">
        <f>LanguagesA!L11</f>
        <v>Rechnungen und Autorenhonorare können erst bezahlt werden, wenn die entsprechenden Formulare vollständig eingegangen sind und validiert wurden.</v>
      </c>
      <c r="C5" s="375"/>
      <c r="D5" s="375"/>
      <c r="E5" s="375"/>
      <c r="F5" s="375"/>
      <c r="G5" s="375"/>
      <c r="H5" s="375"/>
      <c r="I5" s="375"/>
      <c r="J5" s="375"/>
      <c r="K5" s="375"/>
      <c r="L5" s="95"/>
      <c r="M5" s="2" t="s">
        <v>0</v>
      </c>
    </row>
    <row r="6" spans="1:14" s="2" customFormat="1" ht="42.6" customHeight="1" thickBot="1">
      <c r="A6" s="388" t="str">
        <f>LanguagesA!L12</f>
        <v>Für den internen Gebrauch durch LexisNexis Legal &amp; Professional und RELX</v>
      </c>
      <c r="B6" s="389"/>
      <c r="C6" s="389"/>
      <c r="D6" s="389"/>
      <c r="E6" s="389"/>
      <c r="F6" s="389"/>
      <c r="G6" s="389"/>
      <c r="H6" s="389"/>
      <c r="I6" s="389"/>
      <c r="J6" s="389"/>
      <c r="K6" s="389"/>
      <c r="L6" s="390"/>
      <c r="M6" s="2" t="s">
        <v>0</v>
      </c>
    </row>
    <row r="7" spans="1:14" s="2" customFormat="1" ht="45.75" customHeight="1" thickBot="1">
      <c r="A7" s="161"/>
      <c r="B7" s="378" t="str">
        <f>LanguagesA!L6</f>
        <v>Bitte füllen Sie ALLE erforderlichen Felder in diesem Abschnitt aus und leiten Sie das Formular anschließend zur Vervollständigung an Ihren Lieferanten-/Autorenkontakt weiter.</v>
      </c>
      <c r="C7" s="378"/>
      <c r="D7" s="378"/>
      <c r="E7" s="378"/>
      <c r="F7" s="378"/>
      <c r="G7" s="378"/>
      <c r="H7" s="378"/>
      <c r="I7" s="162" t="s">
        <v>4</v>
      </c>
      <c r="J7" s="379" t="str">
        <f>LanguagesA!L9</f>
        <v>Pflichtfeld</v>
      </c>
      <c r="K7" s="379"/>
      <c r="L7" s="163"/>
      <c r="M7" s="2" t="s">
        <v>0</v>
      </c>
    </row>
    <row r="8" spans="1:14" s="2" customFormat="1" ht="25.5" customHeight="1">
      <c r="A8" s="120" t="s">
        <v>0</v>
      </c>
      <c r="B8" s="514" t="str">
        <f>LanguagesA!L13</f>
        <v>Anforderungsdatum</v>
      </c>
      <c r="C8" s="515"/>
      <c r="D8" s="515"/>
      <c r="E8" s="380"/>
      <c r="F8" s="381"/>
      <c r="G8" s="381"/>
      <c r="H8" s="381"/>
      <c r="I8" s="381"/>
      <c r="J8" s="381"/>
      <c r="K8" s="381"/>
      <c r="L8" s="382"/>
      <c r="M8" s="2" t="str">
        <f>A8</f>
        <v>*</v>
      </c>
    </row>
    <row r="9" spans="1:14" s="2" customFormat="1" ht="27.6" customHeight="1">
      <c r="A9" s="49" t="s">
        <v>0</v>
      </c>
      <c r="B9" s="281" t="str">
        <f>LanguagesA!L14</f>
        <v>Grund der Anforderung</v>
      </c>
      <c r="C9" s="281"/>
      <c r="D9" s="282"/>
      <c r="E9" s="376" t="s">
        <v>2232</v>
      </c>
      <c r="F9" s="377"/>
      <c r="G9" s="377"/>
      <c r="H9" s="377"/>
      <c r="I9" s="377"/>
      <c r="J9" s="377"/>
      <c r="K9" s="377"/>
      <c r="L9" s="45"/>
      <c r="M9" s="2" t="str">
        <f>A9</f>
        <v>*</v>
      </c>
    </row>
    <row r="10" spans="1:14" s="2" customFormat="1" ht="36.9" hidden="1" customHeight="1">
      <c r="A10" s="393" t="str">
        <f>IF(B10&gt;"","*","")</f>
        <v>*</v>
      </c>
      <c r="B10" s="353" t="str">
        <f>IF(OR(E9=LanguagesA!L111,E9=LanguagesA!L112),LanguagesA!L15,"")</f>
        <v>Änderung Stammdaten:</v>
      </c>
      <c r="C10" s="354"/>
      <c r="D10" s="354"/>
      <c r="E10" s="331" t="str">
        <f>IF(B10&gt;" ",LanguagesA!L16,"")</f>
        <v>Name Lieferant/Autor</v>
      </c>
      <c r="F10" s="331"/>
      <c r="G10" s="331"/>
      <c r="H10" s="331"/>
      <c r="I10" s="385" t="str">
        <f>IF(B10&gt;" ",LanguagesA!L17,"")</f>
        <v>Nummer Lieferant/Autor</v>
      </c>
      <c r="J10" s="386"/>
      <c r="K10" s="386"/>
      <c r="L10" s="387"/>
      <c r="M10" s="2" t="str">
        <f>A10</f>
        <v>*</v>
      </c>
    </row>
    <row r="11" spans="1:14" s="2" customFormat="1" ht="52.5" hidden="1" customHeight="1">
      <c r="A11" s="393"/>
      <c r="B11" s="516" t="str">
        <f>IF(B10&gt;" ",LanguagesA!L18,"")</f>
        <v>Bitte leer lassen, falls die Information nicht bekannt ist. (Die Information unterstützt die Buchhaltung bei der Aktualisierung der Lieferanten-/Autorenstammdaten.)</v>
      </c>
      <c r="C11" s="517"/>
      <c r="D11" s="517"/>
      <c r="E11" s="352"/>
      <c r="F11" s="352"/>
      <c r="G11" s="352"/>
      <c r="H11" s="352"/>
      <c r="I11" s="355"/>
      <c r="J11" s="356"/>
      <c r="K11" s="356"/>
      <c r="L11" s="357"/>
      <c r="M11" s="2" t="str">
        <f>A10</f>
        <v>*</v>
      </c>
      <c r="N11" s="137"/>
    </row>
    <row r="12" spans="1:14" s="2" customFormat="1" ht="28.5" hidden="1" customHeight="1">
      <c r="A12" s="49" t="str">
        <f>IF(B12&gt;"","*","")</f>
        <v>*</v>
      </c>
      <c r="B12" s="353" t="str">
        <f>IF(E9=LanguagesA!L111,LanguagesA!L19,"")</f>
        <v>Was muss geändert werden:</v>
      </c>
      <c r="C12" s="354"/>
      <c r="D12" s="354"/>
      <c r="E12" s="361" t="s">
        <v>2</v>
      </c>
      <c r="F12" s="362"/>
      <c r="G12" s="362"/>
      <c r="H12" s="362"/>
      <c r="I12" s="362"/>
      <c r="J12" s="362"/>
      <c r="K12" s="362"/>
      <c r="L12" s="44"/>
      <c r="M12" s="2" t="str">
        <f>A10</f>
        <v>*</v>
      </c>
      <c r="N12" s="137"/>
    </row>
    <row r="13" spans="1:14" s="2" customFormat="1" ht="28.5" hidden="1" customHeight="1">
      <c r="A13" s="49" t="str">
        <f>IF(B13&gt;"","*","")</f>
        <v/>
      </c>
      <c r="B13" s="353" t="str">
        <f>IF(E12=LanguagesA!L113,LanguagesA!L20,"")</f>
        <v/>
      </c>
      <c r="C13" s="354"/>
      <c r="D13" s="354"/>
      <c r="E13" s="358"/>
      <c r="F13" s="359"/>
      <c r="G13" s="359"/>
      <c r="H13" s="359"/>
      <c r="I13" s="359"/>
      <c r="J13" s="359"/>
      <c r="K13" s="359"/>
      <c r="L13" s="360"/>
      <c r="N13" s="137"/>
    </row>
    <row r="14" spans="1:14" s="2" customFormat="1" ht="28.5" customHeight="1">
      <c r="A14" s="49" t="s">
        <v>0</v>
      </c>
      <c r="B14" s="281" t="str">
        <f>LanguagesA!L27</f>
        <v>Geschäftsbereich</v>
      </c>
      <c r="C14" s="281"/>
      <c r="D14" s="282"/>
      <c r="E14" s="376" t="s">
        <v>2384</v>
      </c>
      <c r="F14" s="377"/>
      <c r="G14" s="377"/>
      <c r="H14" s="377"/>
      <c r="I14" s="377"/>
      <c r="J14" s="377"/>
      <c r="K14" s="377"/>
      <c r="L14" s="45"/>
      <c r="M14" s="2" t="str">
        <f>A14</f>
        <v>*</v>
      </c>
    </row>
    <row r="15" spans="1:14" s="2" customFormat="1" ht="27" customHeight="1">
      <c r="A15" s="122" t="s">
        <v>0</v>
      </c>
      <c r="B15" s="367" t="str">
        <f>LanguagesA!L28</f>
        <v>Geschäftsregion</v>
      </c>
      <c r="C15" s="367"/>
      <c r="D15" s="368"/>
      <c r="E15" s="365" t="s">
        <v>2178</v>
      </c>
      <c r="F15" s="365"/>
      <c r="G15" s="365"/>
      <c r="H15" s="365"/>
      <c r="I15" s="365"/>
      <c r="J15" s="365"/>
      <c r="K15" s="366"/>
      <c r="L15" s="45"/>
      <c r="M15" s="2" t="str">
        <f>A15</f>
        <v>*</v>
      </c>
    </row>
    <row r="16" spans="1:14" s="2" customFormat="1" ht="27" customHeight="1">
      <c r="A16" s="122" t="s">
        <v>0</v>
      </c>
      <c r="B16" s="279" t="str">
        <f>LanguagesA!L182</f>
        <v>Business Unit (Procurement)</v>
      </c>
      <c r="C16" s="279"/>
      <c r="D16" s="280"/>
      <c r="E16" s="363" t="s">
        <v>2819</v>
      </c>
      <c r="F16" s="364"/>
      <c r="G16" s="364"/>
      <c r="H16" s="364"/>
      <c r="I16" s="364"/>
      <c r="J16" s="364"/>
      <c r="K16" s="364"/>
      <c r="L16" s="45"/>
      <c r="M16" s="2" t="str">
        <f>A16</f>
        <v>*</v>
      </c>
    </row>
    <row r="17" spans="1:13" s="2" customFormat="1" ht="30" customHeight="1">
      <c r="A17" s="49" t="s">
        <v>0</v>
      </c>
      <c r="B17" s="279" t="str">
        <f>LanguagesA!L21</f>
        <v>Lieferantentyp</v>
      </c>
      <c r="C17" s="280"/>
      <c r="D17" s="369" t="s">
        <v>1120</v>
      </c>
      <c r="E17" s="370"/>
      <c r="F17" s="370"/>
      <c r="G17" s="370"/>
      <c r="H17" s="370"/>
      <c r="I17" s="370"/>
      <c r="J17" s="370"/>
      <c r="K17" s="370"/>
      <c r="L17" s="44"/>
      <c r="M17" s="2" t="str">
        <f t="shared" ref="M17:M19" si="0">A17</f>
        <v>*</v>
      </c>
    </row>
    <row r="18" spans="1:13" s="2" customFormat="1" ht="36.6" customHeight="1">
      <c r="A18" s="49" t="s">
        <v>0</v>
      </c>
      <c r="B18" s="282" t="str">
        <f>LanguagesA!L25</f>
        <v>Name Bearbeiter</v>
      </c>
      <c r="C18" s="307"/>
      <c r="D18" s="307"/>
      <c r="E18" s="285" t="s">
        <v>3148</v>
      </c>
      <c r="F18" s="286"/>
      <c r="G18" s="286"/>
      <c r="H18" s="286"/>
      <c r="I18" s="286"/>
      <c r="J18" s="286"/>
      <c r="K18" s="286"/>
      <c r="L18" s="305"/>
      <c r="M18" s="2" t="str">
        <f t="shared" si="0"/>
        <v>*</v>
      </c>
    </row>
    <row r="19" spans="1:13" s="2" customFormat="1" ht="39" customHeight="1">
      <c r="A19" s="49" t="s">
        <v>0</v>
      </c>
      <c r="B19" s="282" t="str">
        <f>LanguagesA!L26</f>
        <v>E-Mail-Adresse Bearbeiter</v>
      </c>
      <c r="C19" s="307"/>
      <c r="D19" s="307"/>
      <c r="E19" s="285" t="s">
        <v>3149</v>
      </c>
      <c r="F19" s="286"/>
      <c r="G19" s="286"/>
      <c r="H19" s="286"/>
      <c r="I19" s="286"/>
      <c r="J19" s="286"/>
      <c r="K19" s="286"/>
      <c r="L19" s="305"/>
      <c r="M19" s="2" t="str">
        <f t="shared" si="0"/>
        <v>*</v>
      </c>
    </row>
    <row r="20" spans="1:13" s="2" customFormat="1" ht="54.75" customHeight="1">
      <c r="A20" s="122" t="s">
        <v>0</v>
      </c>
      <c r="B20" s="488" t="str">
        <f>LanguagesA!L29</f>
        <v>Zahlungsmethode</v>
      </c>
      <c r="C20" s="488"/>
      <c r="D20" s="353"/>
      <c r="E20" s="495" t="str">
        <f>LanguagesA!L30</f>
        <v>Standardmäßig erfolgt die Zahlung durch Überweisung.  Für Ausnahmen senden Sie eine E-Mail an ap.globalvendormaintenance@lexisnexis.com, um vorab eine Genehmigung zu erhalten.</v>
      </c>
      <c r="F20" s="496"/>
      <c r="G20" s="496"/>
      <c r="H20" s="496"/>
      <c r="I20" s="496"/>
      <c r="J20" s="496"/>
      <c r="K20" s="496"/>
      <c r="L20" s="45"/>
      <c r="M20" s="2" t="str">
        <f>A20</f>
        <v>*</v>
      </c>
    </row>
    <row r="21" spans="1:13" s="2" customFormat="1" ht="40.5" customHeight="1">
      <c r="A21" s="122" t="str">
        <f>IF(B21&gt;"","*","")</f>
        <v>*</v>
      </c>
      <c r="B21" s="280" t="str">
        <f>IF(suppaytype&lt;&gt;LanguagesA!L130,LanguagesA!L252,"")</f>
        <v>Gibt es eine unterzeichnete Vereinbarung hinsichtlich der Zahlungsbedingungen des Lieferanten? (Gilt nicht für Autoren)</v>
      </c>
      <c r="C21" s="446"/>
      <c r="D21" s="446"/>
      <c r="E21" s="446"/>
      <c r="F21" s="446"/>
      <c r="G21" s="446"/>
      <c r="H21" s="446"/>
      <c r="I21" s="446"/>
      <c r="J21" s="479" t="s">
        <v>985</v>
      </c>
      <c r="K21" s="297"/>
      <c r="L21" s="167"/>
      <c r="M21" s="2" t="str">
        <f>A21</f>
        <v>*</v>
      </c>
    </row>
    <row r="22" spans="1:13" s="2" customFormat="1" ht="34.5" customHeight="1">
      <c r="A22" s="122" t="str">
        <f>IF(B22&gt;"","*","")</f>
        <v>*</v>
      </c>
      <c r="B22" s="488" t="str">
        <f>IF(Conditions!AL1&gt;0,"",LanguagesA!L32)</f>
        <v>Zahlungsbedingungen</v>
      </c>
      <c r="C22" s="488"/>
      <c r="D22" s="353"/>
      <c r="E22" s="495" t="str">
        <f>LanguagesA!L33</f>
        <v>Die Standard-Zahlungsbedingungen von RELX sehen eine Zahlung ohne Abzug innerhalb von 45 Tagen nach Rechnungsdatum vor. (Gilt nicht für Autoren)</v>
      </c>
      <c r="F22" s="496"/>
      <c r="G22" s="496"/>
      <c r="H22" s="496"/>
      <c r="I22" s="496"/>
      <c r="J22" s="496"/>
      <c r="K22" s="496"/>
      <c r="L22" s="45"/>
      <c r="M22" s="2" t="str">
        <f>A22</f>
        <v>*</v>
      </c>
    </row>
    <row r="23" spans="1:13" s="2" customFormat="1" ht="69" hidden="1" customHeight="1">
      <c r="A23" s="122" t="str">
        <f>IF(B23&gt;"","*","")</f>
        <v/>
      </c>
      <c r="B23" s="491" t="str">
        <f>IF(J21='Drop Down Lists'!A18,LanguagesA!L34,"")</f>
        <v/>
      </c>
      <c r="C23" s="492"/>
      <c r="D23" s="492"/>
      <c r="E23" s="492"/>
      <c r="F23" s="492"/>
      <c r="G23" s="492"/>
      <c r="H23" s="492"/>
      <c r="I23" s="492"/>
      <c r="J23" s="493"/>
      <c r="K23" s="494"/>
      <c r="L23" s="45"/>
      <c r="M23" s="2" t="str">
        <f>A23</f>
        <v/>
      </c>
    </row>
    <row r="24" spans="1:13" s="2" customFormat="1" ht="39" hidden="1" customHeight="1">
      <c r="A24" s="49" t="str">
        <f>IF(B24&gt;"","*","")</f>
        <v/>
      </c>
      <c r="B24" s="282" t="str">
        <f>IF(E9=LanguagesA!L110,LanguagesA!L35,"")</f>
        <v/>
      </c>
      <c r="C24" s="307"/>
      <c r="D24" s="307"/>
      <c r="E24" s="321"/>
      <c r="F24" s="322"/>
      <c r="G24" s="322"/>
      <c r="H24" s="322"/>
      <c r="I24" s="322"/>
      <c r="J24" s="322"/>
      <c r="K24" s="322"/>
      <c r="L24" s="323"/>
      <c r="M24" s="2" t="str">
        <f t="shared" ref="M24:M33" si="1">A24</f>
        <v/>
      </c>
    </row>
    <row r="25" spans="1:13" s="2" customFormat="1" ht="39" customHeight="1">
      <c r="A25" s="122" t="s">
        <v>0</v>
      </c>
      <c r="B25" s="279" t="str">
        <f>LanguagesA!L177</f>
        <v>Geschätzte jährliche Ausgaben mit dem Lieferanten (USD):</v>
      </c>
      <c r="C25" s="279"/>
      <c r="D25" s="279"/>
      <c r="E25" s="279"/>
      <c r="F25" s="279"/>
      <c r="G25" s="280"/>
      <c r="H25" s="473" t="s">
        <v>2177</v>
      </c>
      <c r="I25" s="474"/>
      <c r="J25" s="474"/>
      <c r="K25" s="474"/>
      <c r="L25" s="166"/>
      <c r="M25" s="2" t="str">
        <f t="shared" si="1"/>
        <v>*</v>
      </c>
    </row>
    <row r="26" spans="1:13" s="2" customFormat="1" ht="46.5" customHeight="1">
      <c r="A26" s="122" t="s">
        <v>0</v>
      </c>
      <c r="B26" s="279" t="str">
        <f>LanguagesA!L178</f>
        <v>Glauben Sie, dass dieser Lieferant aus Sicht der Geschäftsstabilität für Ihren RELX-Geschäftsbereich (RELX Corp, Elsevier, LexisNexis Legal and Professional, Risk oder RX) zu den 1 % wichtigsten Lieferanten gehört oder bald dazugehören wird?</v>
      </c>
      <c r="C26" s="279"/>
      <c r="D26" s="279"/>
      <c r="E26" s="279"/>
      <c r="F26" s="279"/>
      <c r="G26" s="279"/>
      <c r="H26" s="279"/>
      <c r="I26" s="280"/>
      <c r="J26" s="479" t="s">
        <v>1296</v>
      </c>
      <c r="K26" s="297"/>
      <c r="L26" s="166"/>
      <c r="M26" s="2" t="str">
        <f t="shared" si="1"/>
        <v>*</v>
      </c>
    </row>
    <row r="27" spans="1:13" s="2" customFormat="1" ht="39" customHeight="1">
      <c r="A27" s="122" t="s">
        <v>0</v>
      </c>
      <c r="B27" s="279" t="str">
        <f>LanguagesA!L179</f>
        <v>Beträgt die Erstlaufzeit mit dem Lieferanten/Autor ein Jahr oder weniger?</v>
      </c>
      <c r="C27" s="279"/>
      <c r="D27" s="279"/>
      <c r="E27" s="279"/>
      <c r="F27" s="279"/>
      <c r="G27" s="279"/>
      <c r="H27" s="279"/>
      <c r="I27" s="280"/>
      <c r="J27" s="479" t="s">
        <v>1296</v>
      </c>
      <c r="K27" s="297"/>
      <c r="L27" s="166"/>
      <c r="M27" s="2" t="str">
        <f t="shared" si="1"/>
        <v>*</v>
      </c>
    </row>
    <row r="28" spans="1:13" s="2" customFormat="1" ht="39" customHeight="1">
      <c r="A28" s="122" t="s">
        <v>0</v>
      </c>
      <c r="B28" s="279" t="str">
        <f>LanguagesA!L180</f>
        <v>Liegt mit diesem Lieferanten/Autor ein Vertrag vor?</v>
      </c>
      <c r="C28" s="279"/>
      <c r="D28" s="279"/>
      <c r="E28" s="279"/>
      <c r="F28" s="279"/>
      <c r="G28" s="279"/>
      <c r="H28" s="279"/>
      <c r="I28" s="280"/>
      <c r="J28" s="479" t="s">
        <v>2177</v>
      </c>
      <c r="K28" s="297"/>
      <c r="L28" s="166"/>
      <c r="M28" s="2" t="str">
        <f t="shared" si="1"/>
        <v>*</v>
      </c>
    </row>
    <row r="29" spans="1:13" s="2" customFormat="1" ht="39" customHeight="1">
      <c r="A29" s="49" t="str">
        <f>IF(B29&gt;"","*","")</f>
        <v/>
      </c>
      <c r="B29" s="281">
        <f>IF(Conditions!AI1=0,LanguagesA!L36,"")</f>
        <v>0</v>
      </c>
      <c r="C29" s="281"/>
      <c r="D29" s="281"/>
      <c r="E29" s="281"/>
      <c r="F29" s="281"/>
      <c r="G29" s="281"/>
      <c r="H29" s="281"/>
      <c r="I29" s="282"/>
      <c r="J29" s="479" t="s">
        <v>1296</v>
      </c>
      <c r="K29" s="297"/>
      <c r="L29" s="45"/>
      <c r="M29" s="2" t="str">
        <f t="shared" si="1"/>
        <v/>
      </c>
    </row>
    <row r="30" spans="1:13" s="2" customFormat="1" ht="32.25" hidden="1" customHeight="1">
      <c r="A30" s="49" t="str">
        <f>IF(J29=Languages!L109,"*","")</f>
        <v/>
      </c>
      <c r="B30" s="500" t="str">
        <f>LanguagesA!L37</f>
        <v>Wenn ein Beschaffungsvertrag-/Rahmenvertrag besteht, stellen Sie bitte sicher, dass eine Kopie an contracts@relx.com gesendet wird.</v>
      </c>
      <c r="C30" s="500"/>
      <c r="D30" s="500"/>
      <c r="E30" s="500"/>
      <c r="F30" s="500"/>
      <c r="G30" s="500"/>
      <c r="H30" s="500"/>
      <c r="I30" s="500"/>
      <c r="J30" s="500"/>
      <c r="K30" s="500"/>
      <c r="L30" s="45"/>
      <c r="M30" s="2" t="str">
        <f t="shared" si="1"/>
        <v/>
      </c>
    </row>
    <row r="31" spans="1:13" s="2" customFormat="1" ht="57" hidden="1" customHeight="1">
      <c r="A31" s="49" t="str">
        <f>IF(B31&gt;"","*","")</f>
        <v/>
      </c>
      <c r="B31" s="448" t="str">
        <f>IF(AND(Conditions!AI1&lt;1,J29='Drop Down Lists'!A18),LanguagesA!L38,"")</f>
        <v/>
      </c>
      <c r="C31" s="448"/>
      <c r="D31" s="448"/>
      <c r="E31" s="448"/>
      <c r="F31" s="448"/>
      <c r="G31" s="448"/>
      <c r="H31" s="448"/>
      <c r="I31" s="473" t="s">
        <v>6</v>
      </c>
      <c r="J31" s="474"/>
      <c r="K31" s="474"/>
      <c r="L31" s="45"/>
      <c r="M31" s="2" t="str">
        <f t="shared" si="1"/>
        <v/>
      </c>
    </row>
    <row r="32" spans="1:13" s="2" customFormat="1" ht="54.9" customHeight="1">
      <c r="A32" s="49" t="s">
        <v>0</v>
      </c>
      <c r="B32" s="281" t="str">
        <f>LanguagesA!L39</f>
        <v>Haben oder hatten Sie, ein Mitglied Ihrer Familie, ein Mitarbeiter von RELX oder ein Familienangehöriger eines RELX-Mitarbeiters jemals ein wirtschaftliches Abhängigkeitsverhältnis mit dem Lieferanten/Autor (z.B. aufgrund einer Beschäftigung, einer Beratertätigkeit, einer finanziellen Verpflichtung oder Eigentums- oder Beteiligungsverhältnissen)?</v>
      </c>
      <c r="C32" s="281"/>
      <c r="D32" s="281"/>
      <c r="E32" s="281"/>
      <c r="F32" s="281"/>
      <c r="G32" s="281"/>
      <c r="H32" s="281"/>
      <c r="I32" s="281"/>
      <c r="J32" s="282"/>
      <c r="K32" s="176" t="s">
        <v>985</v>
      </c>
      <c r="L32" s="45"/>
      <c r="M32" s="2" t="str">
        <f t="shared" si="1"/>
        <v>*</v>
      </c>
    </row>
    <row r="33" spans="1:13" s="2" customFormat="1" ht="25.5" hidden="1" customHeight="1">
      <c r="A33" s="49" t="str">
        <f>IF(B33&gt;"","*","")</f>
        <v/>
      </c>
      <c r="B33" s="449" t="str">
        <f>IF(K32=LanguagesA!L108,LanguagesA!L40,"")</f>
        <v/>
      </c>
      <c r="C33" s="497"/>
      <c r="D33" s="497"/>
      <c r="E33" s="321"/>
      <c r="F33" s="322"/>
      <c r="G33" s="322"/>
      <c r="H33" s="322"/>
      <c r="I33" s="322"/>
      <c r="J33" s="322"/>
      <c r="K33" s="322"/>
      <c r="L33" s="323"/>
      <c r="M33" s="2" t="str">
        <f t="shared" si="1"/>
        <v/>
      </c>
    </row>
    <row r="34" spans="1:13" ht="87.6" customHeight="1" thickBot="1">
      <c r="A34" s="155"/>
      <c r="B34" s="488" t="str">
        <f>LanguagesA!L41</f>
        <v>Mit der Einreichung dieses Formulars bestätige ich, dass alle darin enthaltenen Angaben zutreffend sind. Mir ist bewusst, dass jede unrichtige Angabe disziplinarische Maßnahmen nach sich ziehen kann. Darüber hinaus verpflichte ich mich, die Abteilung „Global Accounts Payable” unverzüglich zu informieren, sobald ich Kenntnis von zusätzlichen Informationen erlange, durch die die Angaben in diesem Formular unzutreffend werden, damit diese entsprechend aktualisiert werden können.</v>
      </c>
      <c r="C34" s="488"/>
      <c r="D34" s="488"/>
      <c r="E34" s="488"/>
      <c r="F34" s="488"/>
      <c r="G34" s="488"/>
      <c r="H34" s="488"/>
      <c r="I34" s="488"/>
      <c r="J34" s="488"/>
      <c r="K34" s="488"/>
      <c r="L34" s="156"/>
      <c r="M34" s="2" t="s">
        <v>0</v>
      </c>
    </row>
    <row r="35" spans="1:13" ht="42.6" customHeight="1" thickBot="1">
      <c r="A35" s="338" t="str">
        <f>LanguagesA!L43</f>
        <v>KREDITORENINFORMATION (vom Lieferanten/Autor auszufüllen)</v>
      </c>
      <c r="B35" s="339"/>
      <c r="C35" s="339"/>
      <c r="D35" s="339"/>
      <c r="E35" s="339"/>
      <c r="F35" s="339"/>
      <c r="G35" s="339"/>
      <c r="H35" s="339"/>
      <c r="I35" s="339"/>
      <c r="J35" s="339"/>
      <c r="K35" s="339"/>
      <c r="L35" s="340"/>
      <c r="M35" s="1" t="s">
        <v>0</v>
      </c>
    </row>
    <row r="36" spans="1:13" ht="76.5" customHeight="1">
      <c r="A36" s="123"/>
      <c r="B36" s="486" t="str">
        <f>LanguagesA!L4</f>
        <v>Mithilfe dieses Formulars werden Informationen gesammelt, die unsere Buchhaltung benötigt, um Ihre Honorare auszahlen oder Ihre Rechnungen begleichen zu können. LexisNexis Legal &amp; Professional und RELX wird diese Informationen nicht für andere als die oben genannten Zwecke verwenden. Die Informationen müssen vorliegen, bevor eine Zahlung erfolgen kann. Hinsichtlich der geltenden Bedingungen verweisen wir auf die zwischen Ihnen und Ihrer zuständigen RELX-Business-Einheit geschlossenen Vereinbarung.</v>
      </c>
      <c r="C36" s="486"/>
      <c r="D36" s="486"/>
      <c r="E36" s="486"/>
      <c r="F36" s="486"/>
      <c r="G36" s="486"/>
      <c r="H36" s="486"/>
      <c r="I36" s="486"/>
      <c r="J36" s="487"/>
      <c r="K36" s="486"/>
      <c r="L36" s="47"/>
      <c r="M36" s="1" t="s">
        <v>0</v>
      </c>
    </row>
    <row r="37" spans="1:13" ht="48" hidden="1" customHeight="1">
      <c r="A37" s="143" t="str">
        <f>IF(suppaytype='Drop Down Lists'!D11,"*","")</f>
        <v/>
      </c>
      <c r="B37" s="341" t="str">
        <f>LanguagesA!L7</f>
        <v>Klicken Sie auf das blaue Kästchen, um wichtige Anforderungen von RELX an Rechnungen einzusehen. Wenn Sie diese Anforderungen erfüllen, verringert sich das Risiko verspäteter Zahlungen oder der Ablehnung von Rechnungen. (Gilt nicht für Autoren)</v>
      </c>
      <c r="C37" s="341"/>
      <c r="D37" s="341"/>
      <c r="E37" s="341"/>
      <c r="F37" s="341"/>
      <c r="G37" s="341"/>
      <c r="H37" s="341"/>
      <c r="I37" s="341"/>
      <c r="J37" s="342"/>
      <c r="K37" s="110" t="s">
        <v>10</v>
      </c>
      <c r="L37" s="46"/>
    </row>
    <row r="38" spans="1:13" ht="48" customHeight="1" thickBot="1">
      <c r="A38" s="125"/>
      <c r="B38" s="520" t="str">
        <f>LanguagesA!L5</f>
        <v>Bitte füllen Sie ALLE Pflichtfelder aus und reichen Sie das Formular wie unten angegeben ein.</v>
      </c>
      <c r="C38" s="520"/>
      <c r="D38" s="520"/>
      <c r="E38" s="520"/>
      <c r="F38" s="520"/>
      <c r="G38" s="520"/>
      <c r="H38" s="520"/>
      <c r="I38" s="134" t="s">
        <v>11</v>
      </c>
      <c r="J38" s="498" t="str">
        <f>LanguagesA!L9</f>
        <v>Pflichtfeld</v>
      </c>
      <c r="K38" s="499"/>
      <c r="L38" s="48"/>
      <c r="M38" s="1" t="s">
        <v>0</v>
      </c>
    </row>
    <row r="39" spans="1:13" ht="35.1" customHeight="1">
      <c r="A39" s="49" t="s">
        <v>0</v>
      </c>
      <c r="B39" s="281" t="str">
        <f>LanguagesA!L49</f>
        <v>Lieferanten-/Firmen-/Personenname</v>
      </c>
      <c r="C39" s="281"/>
      <c r="D39" s="281"/>
      <c r="E39" s="281"/>
      <c r="F39" s="282"/>
      <c r="G39" s="501"/>
      <c r="H39" s="502"/>
      <c r="I39" s="502"/>
      <c r="J39" s="502"/>
      <c r="K39" s="502"/>
      <c r="L39" s="503"/>
      <c r="M39" s="1" t="str">
        <f>A39</f>
        <v>*</v>
      </c>
    </row>
    <row r="40" spans="1:13" ht="22.5" customHeight="1">
      <c r="A40" s="49" t="s">
        <v>0</v>
      </c>
      <c r="B40" s="287" t="str">
        <f>LanguagesA!L50</f>
        <v>Land</v>
      </c>
      <c r="C40" s="287"/>
      <c r="D40" s="287"/>
      <c r="E40" s="287"/>
      <c r="F40" s="288"/>
      <c r="G40" s="335" t="s">
        <v>2178</v>
      </c>
      <c r="H40" s="335"/>
      <c r="I40" s="335"/>
      <c r="J40" s="335"/>
      <c r="K40" s="465"/>
      <c r="L40" s="46"/>
      <c r="M40" s="1" t="str">
        <f t="shared" ref="M40:M44" si="2">A40</f>
        <v>*</v>
      </c>
    </row>
    <row r="41" spans="1:13" ht="27.75" customHeight="1">
      <c r="A41" s="49" t="s">
        <v>0</v>
      </c>
      <c r="B41" s="281" t="str">
        <f>LanguagesA!L51</f>
        <v>Land der Steueransässigkeit</v>
      </c>
      <c r="C41" s="281"/>
      <c r="D41" s="281"/>
      <c r="E41" s="281"/>
      <c r="F41" s="282"/>
      <c r="G41" s="335" t="s">
        <v>2178</v>
      </c>
      <c r="H41" s="335"/>
      <c r="I41" s="335"/>
      <c r="J41" s="335"/>
      <c r="K41" s="335"/>
      <c r="L41" s="46"/>
      <c r="M41" s="1" t="str">
        <f t="shared" si="2"/>
        <v>*</v>
      </c>
    </row>
    <row r="42" spans="1:13" ht="27.75" customHeight="1">
      <c r="A42" s="49" t="s">
        <v>0</v>
      </c>
      <c r="B42" s="279" t="str">
        <f>LanguagesA!L183</f>
        <v>Organisationstyp</v>
      </c>
      <c r="C42" s="279"/>
      <c r="D42" s="279"/>
      <c r="E42" s="279"/>
      <c r="F42" s="280"/>
      <c r="G42" s="343" t="s">
        <v>2177</v>
      </c>
      <c r="H42" s="344"/>
      <c r="I42" s="344"/>
      <c r="J42" s="344"/>
      <c r="K42" s="344"/>
      <c r="L42" s="46"/>
      <c r="M42" s="1" t="str">
        <f t="shared" si="2"/>
        <v>*</v>
      </c>
    </row>
    <row r="43" spans="1:13" ht="27.75" customHeight="1">
      <c r="A43" s="49" t="s">
        <v>0</v>
      </c>
      <c r="B43" s="279" t="str">
        <f>LanguagesA!L204</f>
        <v>Wählen Sie ein Produkt oder eine Dienstleistung aus:</v>
      </c>
      <c r="C43" s="279"/>
      <c r="D43" s="279"/>
      <c r="E43" s="279"/>
      <c r="F43" s="279"/>
      <c r="G43" s="279"/>
      <c r="H43" s="279"/>
      <c r="I43" s="279"/>
      <c r="J43" s="279"/>
      <c r="K43" s="279"/>
      <c r="L43" s="46"/>
      <c r="M43" s="1" t="str">
        <f t="shared" si="2"/>
        <v>*</v>
      </c>
    </row>
    <row r="44" spans="1:13" ht="35.1" customHeight="1">
      <c r="A44" s="49"/>
      <c r="B44" s="270"/>
      <c r="C44" s="489" t="s">
        <v>3147</v>
      </c>
      <c r="D44" s="489"/>
      <c r="E44" s="489"/>
      <c r="F44" s="489"/>
      <c r="G44" s="489"/>
      <c r="H44" s="489"/>
      <c r="I44" s="489"/>
      <c r="J44" s="489"/>
      <c r="K44" s="489"/>
      <c r="L44" s="490"/>
      <c r="M44" s="1">
        <f t="shared" si="2"/>
        <v>0</v>
      </c>
    </row>
    <row r="45" spans="1:13" ht="35.1" customHeight="1">
      <c r="A45" s="49" t="s">
        <v>0</v>
      </c>
      <c r="B45" s="287" t="str">
        <f>LanguagesA!L52</f>
        <v>Adresse</v>
      </c>
      <c r="C45" s="287"/>
      <c r="D45" s="287"/>
      <c r="E45" s="287"/>
      <c r="F45" s="288"/>
      <c r="G45" s="285"/>
      <c r="H45" s="286"/>
      <c r="I45" s="286"/>
      <c r="J45" s="286"/>
      <c r="K45" s="286"/>
      <c r="L45" s="305"/>
      <c r="M45" s="1" t="s">
        <v>0</v>
      </c>
    </row>
    <row r="46" spans="1:13" ht="35.1" customHeight="1">
      <c r="A46" s="124"/>
      <c r="B46" s="287" t="str">
        <f>LanguagesA!L53</f>
        <v>Adresszeile 2</v>
      </c>
      <c r="C46" s="287"/>
      <c r="D46" s="287"/>
      <c r="E46" s="287"/>
      <c r="F46" s="288"/>
      <c r="G46" s="285"/>
      <c r="H46" s="286"/>
      <c r="I46" s="286"/>
      <c r="J46" s="286"/>
      <c r="K46" s="286"/>
      <c r="L46" s="305"/>
      <c r="M46" s="1" t="s">
        <v>0</v>
      </c>
    </row>
    <row r="47" spans="1:13" ht="35.1" customHeight="1">
      <c r="A47" s="124"/>
      <c r="B47" s="287" t="str">
        <f>LanguagesA!L54</f>
        <v>Adresszeile 3</v>
      </c>
      <c r="C47" s="287"/>
      <c r="D47" s="287"/>
      <c r="E47" s="287"/>
      <c r="F47" s="288"/>
      <c r="G47" s="285"/>
      <c r="H47" s="286"/>
      <c r="I47" s="286"/>
      <c r="J47" s="286"/>
      <c r="K47" s="286"/>
      <c r="L47" s="305"/>
      <c r="M47" s="1" t="s">
        <v>0</v>
      </c>
    </row>
    <row r="48" spans="1:13" ht="35.1" customHeight="1">
      <c r="A48" s="124"/>
      <c r="B48" s="287" t="str">
        <f>LanguagesA!L55</f>
        <v>Adresszeile 4</v>
      </c>
      <c r="C48" s="287"/>
      <c r="D48" s="287"/>
      <c r="E48" s="287"/>
      <c r="F48" s="288"/>
      <c r="G48" s="285"/>
      <c r="H48" s="286"/>
      <c r="I48" s="286"/>
      <c r="J48" s="286"/>
      <c r="K48" s="286"/>
      <c r="L48" s="305"/>
      <c r="M48" s="1" t="s">
        <v>0</v>
      </c>
    </row>
    <row r="49" spans="1:13" ht="35.1" customHeight="1">
      <c r="A49" s="49" t="str">
        <f>IF(B49&gt;"","*","")</f>
        <v>*</v>
      </c>
      <c r="B49" s="287" t="str">
        <f>LanguagesA!L56</f>
        <v>Ort</v>
      </c>
      <c r="C49" s="287"/>
      <c r="D49" s="287"/>
      <c r="E49" s="287"/>
      <c r="F49" s="288"/>
      <c r="G49" s="285"/>
      <c r="H49" s="286"/>
      <c r="I49" s="286"/>
      <c r="J49" s="286"/>
      <c r="K49" s="286"/>
      <c r="L49" s="305"/>
      <c r="M49" s="1" t="str">
        <f t="shared" ref="M49:M50" si="3">A49</f>
        <v>*</v>
      </c>
    </row>
    <row r="50" spans="1:13" ht="35.1" customHeight="1">
      <c r="A50" s="49" t="s">
        <v>0</v>
      </c>
      <c r="B50" s="287" t="str">
        <f>LanguagesA!L57</f>
        <v>Postleitzahl</v>
      </c>
      <c r="C50" s="287"/>
      <c r="D50" s="287"/>
      <c r="E50" s="287"/>
      <c r="F50" s="288"/>
      <c r="G50" s="285"/>
      <c r="H50" s="286"/>
      <c r="I50" s="286"/>
      <c r="J50" s="286"/>
      <c r="K50" s="286"/>
      <c r="L50" s="305"/>
      <c r="M50" s="1" t="str">
        <f t="shared" si="3"/>
        <v>*</v>
      </c>
    </row>
    <row r="51" spans="1:13" ht="35.1" customHeight="1">
      <c r="A51" s="124"/>
      <c r="B51" s="281" t="str">
        <f>LanguagesA!L58</f>
        <v>Name der Kontaktperson (wenn abweichend von Lieferanten-/Firmen-/Personenname)</v>
      </c>
      <c r="C51" s="281"/>
      <c r="D51" s="281"/>
      <c r="E51" s="281"/>
      <c r="F51" s="282"/>
      <c r="G51" s="321" t="str">
        <f>IF(G39&gt;"",G39,"")</f>
        <v/>
      </c>
      <c r="H51" s="322"/>
      <c r="I51" s="322"/>
      <c r="J51" s="322"/>
      <c r="K51" s="322"/>
      <c r="L51" s="323"/>
      <c r="M51" s="1" t="s">
        <v>0</v>
      </c>
    </row>
    <row r="52" spans="1:13" ht="41.25" customHeight="1">
      <c r="A52" s="49" t="s">
        <v>0</v>
      </c>
      <c r="B52" s="279" t="str">
        <f>LanguagesA!L175</f>
        <v>E-Mail-Adresse der Ansprechperson</v>
      </c>
      <c r="C52" s="279"/>
      <c r="D52" s="279"/>
      <c r="E52" s="279"/>
      <c r="F52" s="280"/>
      <c r="G52" s="473"/>
      <c r="H52" s="474"/>
      <c r="I52" s="474"/>
      <c r="J52" s="474"/>
      <c r="K52" s="474"/>
      <c r="L52" s="475"/>
      <c r="M52" s="250" t="s">
        <v>0</v>
      </c>
    </row>
    <row r="53" spans="1:13" ht="41.25" hidden="1" customHeight="1">
      <c r="A53" s="49"/>
      <c r="B53" s="476" t="str">
        <f>LanguagesA!L176</f>
        <v>(Erhält Zugriff auf das Lieferantenprofil und die Bankinformationen im Lieferantenportal - sofern verfügbar.)</v>
      </c>
      <c r="C53" s="476"/>
      <c r="D53" s="476"/>
      <c r="E53" s="476"/>
      <c r="F53" s="476"/>
      <c r="G53" s="476"/>
      <c r="H53" s="476"/>
      <c r="I53" s="476"/>
      <c r="J53" s="476"/>
      <c r="K53" s="476"/>
      <c r="L53" s="249"/>
      <c r="M53" s="250"/>
    </row>
    <row r="54" spans="1:13" ht="38.25" customHeight="1">
      <c r="A54" s="49" t="s">
        <v>0</v>
      </c>
      <c r="B54" s="512" t="str">
        <f>LanguagesA!L61</f>
        <v>E-Mail-Adresse für Zahlungsaviso</v>
      </c>
      <c r="C54" s="512"/>
      <c r="D54" s="512"/>
      <c r="E54" s="512"/>
      <c r="F54" s="513"/>
      <c r="G54" s="285"/>
      <c r="H54" s="286"/>
      <c r="I54" s="286"/>
      <c r="J54" s="286"/>
      <c r="K54" s="286"/>
      <c r="L54" s="305"/>
      <c r="M54" s="1" t="str">
        <f>A54</f>
        <v>*</v>
      </c>
    </row>
    <row r="55" spans="1:13" ht="45" hidden="1" customHeight="1">
      <c r="A55" s="49" t="str">
        <f>IF(I31='Drop Down Lists'!A2,"*","")</f>
        <v/>
      </c>
      <c r="B55" s="471" t="str">
        <f>LanguagesA!L59</f>
        <v>Adresse für Bestellungen (wenn abweichend von oben)</v>
      </c>
      <c r="C55" s="471"/>
      <c r="D55" s="471"/>
      <c r="E55" s="471"/>
      <c r="F55" s="471"/>
      <c r="G55" s="471"/>
      <c r="H55" s="471"/>
      <c r="I55" s="471"/>
      <c r="J55" s="471"/>
      <c r="K55" s="471"/>
      <c r="L55" s="46"/>
      <c r="M55" s="1" t="str">
        <f>A55</f>
        <v/>
      </c>
    </row>
    <row r="56" spans="1:13" ht="19.5" hidden="1" customHeight="1">
      <c r="A56" s="49" t="str">
        <f>IF(I31='Drop Down Lists'!A2,"*","")</f>
        <v/>
      </c>
      <c r="B56" s="296" t="str">
        <f>LanguagesA!L52</f>
        <v>Adresse</v>
      </c>
      <c r="C56" s="296"/>
      <c r="D56" s="296"/>
      <c r="E56" s="296"/>
      <c r="F56" s="349"/>
      <c r="G56" s="346"/>
      <c r="H56" s="347"/>
      <c r="I56" s="347"/>
      <c r="J56" s="347"/>
      <c r="K56" s="347"/>
      <c r="L56" s="348"/>
      <c r="M56" s="1" t="str">
        <f>A55</f>
        <v/>
      </c>
    </row>
    <row r="57" spans="1:13" ht="19.5" hidden="1" customHeight="1">
      <c r="A57" s="49" t="str">
        <f>IF(I31='Drop Down Lists'!A2,"*","")</f>
        <v/>
      </c>
      <c r="B57" s="296" t="str">
        <f>LanguagesA!L53</f>
        <v>Adresszeile 2</v>
      </c>
      <c r="C57" s="296"/>
      <c r="D57" s="296"/>
      <c r="E57" s="296"/>
      <c r="F57" s="349"/>
      <c r="G57" s="346"/>
      <c r="H57" s="347"/>
      <c r="I57" s="347"/>
      <c r="J57" s="347"/>
      <c r="K57" s="347"/>
      <c r="L57" s="348"/>
      <c r="M57" s="1" t="str">
        <f>A55</f>
        <v/>
      </c>
    </row>
    <row r="58" spans="1:13" ht="19.5" hidden="1" customHeight="1">
      <c r="A58" s="49" t="str">
        <f>IF(I31='Drop Down Lists'!A2,"*","")</f>
        <v/>
      </c>
      <c r="B58" s="296" t="str">
        <f>LanguagesA!L54</f>
        <v>Adresszeile 3</v>
      </c>
      <c r="C58" s="296"/>
      <c r="D58" s="296"/>
      <c r="E58" s="296"/>
      <c r="F58" s="349"/>
      <c r="G58" s="346"/>
      <c r="H58" s="347"/>
      <c r="I58" s="347"/>
      <c r="J58" s="347"/>
      <c r="K58" s="347"/>
      <c r="L58" s="348"/>
      <c r="M58" s="1" t="str">
        <f>A55</f>
        <v/>
      </c>
    </row>
    <row r="59" spans="1:13" ht="19.5" hidden="1" customHeight="1">
      <c r="A59" s="49" t="str">
        <f>IF(I31='Drop Down Lists'!A2,"*","")</f>
        <v/>
      </c>
      <c r="B59" s="296" t="str">
        <f>LanguagesA!L55</f>
        <v>Adresszeile 4</v>
      </c>
      <c r="C59" s="296"/>
      <c r="D59" s="296"/>
      <c r="E59" s="296"/>
      <c r="F59" s="349"/>
      <c r="G59" s="346"/>
      <c r="H59" s="347"/>
      <c r="I59" s="347"/>
      <c r="J59" s="347"/>
      <c r="K59" s="347"/>
      <c r="L59" s="348"/>
      <c r="M59" s="1" t="str">
        <f>A55</f>
        <v/>
      </c>
    </row>
    <row r="60" spans="1:13" ht="19.5" hidden="1" customHeight="1">
      <c r="A60" s="49" t="str">
        <f>IF(I31='Drop Down Lists'!A2,"*","")</f>
        <v/>
      </c>
      <c r="B60" s="296" t="str">
        <f>LanguagesA!L56</f>
        <v>Ort</v>
      </c>
      <c r="C60" s="296"/>
      <c r="D60" s="296"/>
      <c r="E60" s="296"/>
      <c r="F60" s="349"/>
      <c r="G60" s="346"/>
      <c r="H60" s="347"/>
      <c r="I60" s="347"/>
      <c r="J60" s="347"/>
      <c r="K60" s="347"/>
      <c r="L60" s="348"/>
      <c r="M60" s="1" t="str">
        <f>A55</f>
        <v/>
      </c>
    </row>
    <row r="61" spans="1:13" ht="20.100000000000001" hidden="1" customHeight="1">
      <c r="A61" s="49" t="str">
        <f>IF(I31='Drop Down Lists'!A2,"*","")</f>
        <v/>
      </c>
      <c r="B61" s="296" t="str">
        <f>IF(OR(country="United States",country="select a country…"),"State","")</f>
        <v/>
      </c>
      <c r="C61" s="296"/>
      <c r="D61" s="296"/>
      <c r="E61" s="296"/>
      <c r="F61" s="349"/>
      <c r="G61" s="346"/>
      <c r="H61" s="347"/>
      <c r="I61" s="347"/>
      <c r="J61" s="347"/>
      <c r="K61" s="347"/>
      <c r="L61" s="348"/>
      <c r="M61" s="1" t="str">
        <f>A55</f>
        <v/>
      </c>
    </row>
    <row r="62" spans="1:13" ht="19.5" hidden="1" customHeight="1">
      <c r="A62" s="49" t="str">
        <f>IF(I31='Drop Down Lists'!A2,"*","")</f>
        <v/>
      </c>
      <c r="B62" s="296" t="str">
        <f>LanguagesA!L57</f>
        <v>Postleitzahl</v>
      </c>
      <c r="C62" s="296"/>
      <c r="D62" s="296"/>
      <c r="E62" s="296"/>
      <c r="F62" s="349"/>
      <c r="G62" s="346"/>
      <c r="H62" s="347"/>
      <c r="I62" s="347"/>
      <c r="J62" s="347"/>
      <c r="K62" s="347"/>
      <c r="L62" s="348"/>
      <c r="M62" s="1" t="str">
        <f>A55</f>
        <v/>
      </c>
    </row>
    <row r="63" spans="1:13" ht="41.1" hidden="1" customHeight="1">
      <c r="A63" s="49" t="str">
        <f>IF(I31='Drop Down Lists'!A2,"*","")</f>
        <v/>
      </c>
      <c r="B63" s="296" t="str">
        <f>LanguagesA!L60</f>
        <v>E-Mail-Adresse für Bestellungen (Purchase Orders)</v>
      </c>
      <c r="C63" s="296"/>
      <c r="D63" s="296"/>
      <c r="E63" s="296"/>
      <c r="F63" s="349"/>
      <c r="G63" s="346"/>
      <c r="H63" s="347"/>
      <c r="I63" s="347"/>
      <c r="J63" s="347"/>
      <c r="K63" s="347"/>
      <c r="L63" s="348"/>
      <c r="M63" s="1" t="str">
        <f>A55</f>
        <v/>
      </c>
    </row>
    <row r="64" spans="1:13" ht="35.1" customHeight="1">
      <c r="A64" s="124"/>
      <c r="B64" s="281" t="str">
        <f>LanguagesA!L62</f>
        <v>Zusätzliche Kontakt-E-Mail (falls zutreffend)</v>
      </c>
      <c r="C64" s="281"/>
      <c r="D64" s="281"/>
      <c r="E64" s="281"/>
      <c r="F64" s="282"/>
      <c r="G64" s="285"/>
      <c r="H64" s="286"/>
      <c r="I64" s="286"/>
      <c r="J64" s="286"/>
      <c r="K64" s="286"/>
      <c r="L64" s="305"/>
      <c r="M64" s="1" t="s">
        <v>0</v>
      </c>
    </row>
    <row r="65" spans="1:19" ht="35.1" customHeight="1">
      <c r="A65" s="49" t="s">
        <v>0</v>
      </c>
      <c r="B65" s="281" t="str">
        <f>LanguagesA!L63</f>
        <v>Telefonnummer</v>
      </c>
      <c r="C65" s="281"/>
      <c r="D65" s="281"/>
      <c r="E65" s="281"/>
      <c r="F65" s="281"/>
      <c r="G65" s="477" t="str">
        <f>IF(country="select a country…","",CONCATENATE("+",VLOOKUP(country,'Drop Down Lists'!$U$1:$V$254,2,FALSE)))</f>
        <v>+43</v>
      </c>
      <c r="H65" s="478"/>
      <c r="I65" s="334"/>
      <c r="J65" s="335"/>
      <c r="K65" s="335"/>
      <c r="L65" s="345"/>
      <c r="M65" s="1" t="str">
        <f t="shared" ref="M65:M66" si="4">A65</f>
        <v>*</v>
      </c>
    </row>
    <row r="66" spans="1:19" ht="20.100000000000001" hidden="1" customHeight="1">
      <c r="A66" s="49" t="str">
        <f t="shared" ref="A66" si="5">IF(B66&gt;"","*","")</f>
        <v/>
      </c>
      <c r="B66" s="287" t="str">
        <f>IF(taxcountry="Germany",LanguagesA!L68,"")</f>
        <v/>
      </c>
      <c r="C66" s="287"/>
      <c r="D66" s="287"/>
      <c r="E66" s="287"/>
      <c r="F66" s="288"/>
      <c r="G66" s="334" t="s">
        <v>2</v>
      </c>
      <c r="H66" s="335"/>
      <c r="I66" s="465"/>
      <c r="J66" s="465"/>
      <c r="K66" s="465"/>
      <c r="L66" s="164"/>
      <c r="M66" s="1" t="str">
        <f t="shared" si="4"/>
        <v/>
      </c>
    </row>
    <row r="67" spans="1:19" ht="20.100000000000001" hidden="1" customHeight="1">
      <c r="A67" s="49"/>
      <c r="B67" s="287" t="str">
        <f>IF(B66&gt;"","VAT # / German Tax ID","")</f>
        <v/>
      </c>
      <c r="C67" s="287"/>
      <c r="D67" s="287"/>
      <c r="E67" s="287"/>
      <c r="F67" s="288"/>
      <c r="G67" s="285"/>
      <c r="H67" s="286"/>
      <c r="I67" s="286"/>
      <c r="J67" s="286"/>
      <c r="K67" s="286"/>
      <c r="L67" s="305"/>
      <c r="M67" s="1" t="str">
        <f>A66</f>
        <v/>
      </c>
    </row>
    <row r="68" spans="1:19" ht="20.100000000000001" customHeight="1">
      <c r="A68" s="49" t="str">
        <f>IF(B68&gt;"","*","")</f>
        <v>*</v>
      </c>
      <c r="B68" s="456" t="str">
        <f>IF(OR(taxcountry="Austria",taxcountry="Germany"),LanguagesA!L251,"")</f>
        <v>UID Nummer (wenn Sie keine besitzen, dann bitte leer lassen)</v>
      </c>
      <c r="C68" s="456"/>
      <c r="D68" s="456"/>
      <c r="E68" s="456"/>
      <c r="F68" s="457"/>
      <c r="G68" s="257"/>
      <c r="H68" s="258"/>
      <c r="I68" s="258"/>
      <c r="J68" s="258"/>
      <c r="K68" s="258"/>
      <c r="L68" s="185"/>
      <c r="M68" s="1" t="str">
        <f>A68</f>
        <v>*</v>
      </c>
    </row>
    <row r="69" spans="1:19" ht="35.1" customHeight="1">
      <c r="A69" s="49" t="s">
        <v>0</v>
      </c>
      <c r="B69" s="281" t="str">
        <f>LanguagesA!L84</f>
        <v>Kontoinhaber</v>
      </c>
      <c r="C69" s="281"/>
      <c r="D69" s="281"/>
      <c r="E69" s="281"/>
      <c r="F69" s="282"/>
      <c r="G69" s="321" t="str">
        <f>IF(G39&gt;"",G39,"")</f>
        <v/>
      </c>
      <c r="H69" s="322"/>
      <c r="I69" s="322"/>
      <c r="J69" s="322"/>
      <c r="K69" s="322"/>
      <c r="L69" s="323"/>
      <c r="M69" s="1" t="str">
        <f t="shared" ref="M69:M78" si="6">A69</f>
        <v>*</v>
      </c>
      <c r="N69" s="308" t="str">
        <f>LanguagesA!L253</f>
        <v>Wenn sich nur die Adresse ändert, fahren Sie bitte mit Zeile 81 fort.</v>
      </c>
      <c r="O69" s="309"/>
      <c r="P69" s="309"/>
      <c r="Q69" s="309"/>
      <c r="R69" s="309"/>
      <c r="S69" s="310"/>
    </row>
    <row r="70" spans="1:19" ht="44.1" hidden="1" customHeight="1">
      <c r="A70" s="49" t="str">
        <f>IF(B70&gt;"","*","")</f>
        <v/>
      </c>
      <c r="B70" s="448" t="str">
        <f>IF(OR(E12=LanguagesA!L116,E12=LanguagesA!L117),LanguagesA!L80,"")</f>
        <v/>
      </c>
      <c r="C70" s="448"/>
      <c r="D70" s="448"/>
      <c r="E70" s="448"/>
      <c r="F70" s="449"/>
      <c r="G70" s="443"/>
      <c r="H70" s="444"/>
      <c r="I70" s="444"/>
      <c r="J70" s="444"/>
      <c r="K70" s="444"/>
      <c r="L70" s="445"/>
      <c r="M70" s="1" t="str">
        <f t="shared" si="6"/>
        <v/>
      </c>
    </row>
    <row r="71" spans="1:19" ht="21.6" customHeight="1">
      <c r="A71" s="49" t="str">
        <f>IF(B71&gt;"","*","")</f>
        <v>*</v>
      </c>
      <c r="B71" s="281" t="str">
        <f>LanguagesA!L81</f>
        <v>Rechnungswährung</v>
      </c>
      <c r="C71" s="281"/>
      <c r="D71" s="281"/>
      <c r="E71" s="281"/>
      <c r="F71" s="282"/>
      <c r="G71" s="334" t="s">
        <v>2179</v>
      </c>
      <c r="H71" s="335"/>
      <c r="I71" s="335"/>
      <c r="J71" s="335"/>
      <c r="K71" s="335"/>
      <c r="L71" s="46"/>
      <c r="M71" s="1" t="str">
        <f t="shared" si="6"/>
        <v>*</v>
      </c>
    </row>
    <row r="72" spans="1:19" ht="35.1" customHeight="1">
      <c r="A72" s="49" t="str">
        <f>IF(B72&gt;"","*","")</f>
        <v>*</v>
      </c>
      <c r="B72" s="279" t="str">
        <f>LanguagesA!L85</f>
        <v>Name Bankinstitut</v>
      </c>
      <c r="C72" s="280"/>
      <c r="D72" s="346"/>
      <c r="E72" s="347"/>
      <c r="F72" s="347"/>
      <c r="G72" s="347"/>
      <c r="H72" s="347"/>
      <c r="I72" s="347"/>
      <c r="J72" s="347"/>
      <c r="K72" s="347"/>
      <c r="L72" s="348"/>
      <c r="M72" s="1" t="str">
        <f t="shared" si="6"/>
        <v>*</v>
      </c>
    </row>
    <row r="73" spans="1:19" ht="35.1" customHeight="1">
      <c r="A73" s="49"/>
      <c r="B73" s="279" t="str">
        <f>LanguagesA!L86</f>
        <v>Zweigniederlassung</v>
      </c>
      <c r="C73" s="280"/>
      <c r="D73" s="346"/>
      <c r="E73" s="347"/>
      <c r="F73" s="347"/>
      <c r="G73" s="347"/>
      <c r="H73" s="347"/>
      <c r="I73" s="347"/>
      <c r="J73" s="347"/>
      <c r="K73" s="347"/>
      <c r="L73" s="348"/>
      <c r="M73" s="1" t="s">
        <v>0</v>
      </c>
    </row>
    <row r="74" spans="1:19" s="2" customFormat="1" ht="24" customHeight="1">
      <c r="A74" s="49" t="str">
        <f t="shared" ref="A74:A76" si="7">IF(B74&gt;"","*","")</f>
        <v>*</v>
      </c>
      <c r="B74" s="279" t="str">
        <f>LanguagesA!L87</f>
        <v>Sitz der Bank (Land)</v>
      </c>
      <c r="C74" s="279"/>
      <c r="D74" s="279"/>
      <c r="E74" s="279"/>
      <c r="F74" s="279"/>
      <c r="G74" s="279"/>
      <c r="H74" s="280"/>
      <c r="I74" s="451" t="s">
        <v>2178</v>
      </c>
      <c r="J74" s="452"/>
      <c r="K74" s="452"/>
      <c r="L74" s="45"/>
      <c r="M74" s="2" t="str">
        <f t="shared" si="6"/>
        <v>*</v>
      </c>
    </row>
    <row r="75" spans="1:19" s="2" customFormat="1" ht="45" hidden="1" customHeight="1">
      <c r="A75" s="49" t="str">
        <f t="shared" si="7"/>
        <v>*</v>
      </c>
      <c r="B75" s="281" t="str">
        <f>LanguagesA!L88</f>
        <v>Kontonummer</v>
      </c>
      <c r="C75" s="282"/>
      <c r="D75" s="346"/>
      <c r="E75" s="347"/>
      <c r="F75" s="347"/>
      <c r="G75" s="347"/>
      <c r="H75" s="347"/>
      <c r="I75" s="347"/>
      <c r="J75" s="347"/>
      <c r="K75" s="347"/>
      <c r="L75" s="348"/>
      <c r="M75" s="2" t="str">
        <f t="shared" si="6"/>
        <v>*</v>
      </c>
    </row>
    <row r="76" spans="1:19" s="2" customFormat="1" ht="43.5" hidden="1" customHeight="1">
      <c r="A76" s="49" t="str">
        <f t="shared" si="7"/>
        <v/>
      </c>
      <c r="B76" s="281" t="str">
        <f>IF(bankcodecond&gt;0,LanguagesA!L89,"")</f>
        <v/>
      </c>
      <c r="C76" s="282"/>
      <c r="D76" s="346"/>
      <c r="E76" s="347"/>
      <c r="F76" s="347"/>
      <c r="G76" s="347"/>
      <c r="H76" s="347"/>
      <c r="I76" s="347"/>
      <c r="J76" s="347"/>
      <c r="K76" s="347"/>
      <c r="L76" s="348"/>
      <c r="M76" s="2" t="str">
        <f t="shared" si="6"/>
        <v/>
      </c>
    </row>
    <row r="77" spans="1:19" ht="45.6" hidden="1" customHeight="1">
      <c r="A77" s="49" t="str">
        <f>IF(sortbranchreqcond1&gt;0,"*","")</f>
        <v>*</v>
      </c>
      <c r="B77" s="281" t="str">
        <f>IF(sortbranchcond1&gt;0,LanguagesA!L90,"")</f>
        <v>BLZ/Filialcode</v>
      </c>
      <c r="C77" s="282"/>
      <c r="D77" s="346"/>
      <c r="E77" s="347"/>
      <c r="F77" s="347"/>
      <c r="G77" s="347"/>
      <c r="H77" s="347"/>
      <c r="I77" s="347"/>
      <c r="J77" s="347"/>
      <c r="K77" s="347"/>
      <c r="L77" s="348"/>
      <c r="M77" s="175" t="str">
        <f t="shared" si="6"/>
        <v>*</v>
      </c>
    </row>
    <row r="78" spans="1:19" ht="39" customHeight="1">
      <c r="A78" s="49" t="str">
        <f>IF(ibanreqcond1&gt;0,"*","")</f>
        <v>*</v>
      </c>
      <c r="B78" s="281" t="str">
        <f>IF(ibancond1&gt;0,LanguagesA!L92,"")</f>
        <v>IBAN-Nummer</v>
      </c>
      <c r="C78" s="282"/>
      <c r="D78" s="346"/>
      <c r="E78" s="347"/>
      <c r="F78" s="347"/>
      <c r="G78" s="347"/>
      <c r="H78" s="347"/>
      <c r="I78" s="347"/>
      <c r="J78" s="347"/>
      <c r="K78" s="347"/>
      <c r="L78" s="348"/>
      <c r="M78" s="1" t="str">
        <f t="shared" si="6"/>
        <v>*</v>
      </c>
    </row>
    <row r="79" spans="1:19" ht="54.9" customHeight="1">
      <c r="A79" s="49"/>
      <c r="B79" s="281" t="str">
        <f>LanguagesA!L93</f>
        <v>BIC / SWIFT-Code</v>
      </c>
      <c r="C79" s="282"/>
      <c r="D79" s="346"/>
      <c r="E79" s="347"/>
      <c r="F79" s="347"/>
      <c r="G79" s="347"/>
      <c r="H79" s="347"/>
      <c r="I79" s="347"/>
      <c r="J79" s="347"/>
      <c r="K79" s="347"/>
      <c r="L79" s="348"/>
      <c r="M79" s="1" t="s">
        <v>0</v>
      </c>
    </row>
    <row r="80" spans="1:19" s="2" customFormat="1" ht="36.6" customHeight="1">
      <c r="A80" s="49" t="str">
        <f>IF(bankcountry2="Malaysia","*","")</f>
        <v/>
      </c>
      <c r="B80" s="141"/>
      <c r="C80" s="427" t="str">
        <f>LanguagesA!L94</f>
        <v>Der SWIFT-Code ist nur für Auslandszahlungen erforderlich.</v>
      </c>
      <c r="D80" s="427"/>
      <c r="E80" s="427"/>
      <c r="F80" s="427"/>
      <c r="G80" s="427"/>
      <c r="H80" s="427"/>
      <c r="I80" s="427"/>
      <c r="J80" s="427"/>
      <c r="K80" s="139"/>
      <c r="L80" s="45"/>
      <c r="M80" s="2" t="str">
        <f>IF(bankcountry2&lt;&gt;"Malaysia","*","")</f>
        <v>*</v>
      </c>
    </row>
    <row r="81" spans="1:13" customFormat="1" ht="84" customHeight="1">
      <c r="A81" s="426" t="str">
        <f>LanguagesA!L100</f>
        <v xml:space="preserve">HIERMIT BESTÄTIGE ICH, DASS MEINE ANGABEN VOLLSTÄNDIG UND KORREKT SIND.* Der Lieferant/Autor nimmt zur Kenntnis, dass LexisNexis eine globale Lieferantenplattform unter Wahrung der Vertraulichkeit führt. Daher können die Angaben in diesem Formular für Zahlungen an den Lieferanten/Autor durch jedes Unternehmen der RELX-Gruppe verwendet werden. </v>
      </c>
      <c r="B81" s="426"/>
      <c r="C81" s="426"/>
      <c r="D81" s="426"/>
      <c r="E81" s="426"/>
      <c r="F81" s="426"/>
      <c r="G81" s="426"/>
      <c r="H81" s="426"/>
      <c r="I81" s="426"/>
      <c r="J81" s="426"/>
      <c r="K81" s="426"/>
      <c r="L81" s="426"/>
      <c r="M81" t="s">
        <v>0</v>
      </c>
    </row>
    <row r="82" spans="1:13" ht="35.1" customHeight="1">
      <c r="A82" s="49" t="s">
        <v>0</v>
      </c>
      <c r="B82" s="279" t="str">
        <f>LanguagesA!L101</f>
        <v>Datum</v>
      </c>
      <c r="C82" s="280"/>
      <c r="D82" s="420"/>
      <c r="E82" s="421"/>
      <c r="F82" s="421"/>
      <c r="G82" s="421"/>
      <c r="H82" s="421"/>
      <c r="I82" s="421"/>
      <c r="J82" s="421"/>
      <c r="K82" s="421"/>
      <c r="L82" s="422"/>
      <c r="M82" s="1" t="str">
        <f>A82</f>
        <v>*</v>
      </c>
    </row>
    <row r="83" spans="1:13" ht="35.1" customHeight="1">
      <c r="A83" s="49" t="s">
        <v>0</v>
      </c>
      <c r="B83" s="279" t="str">
        <f>LanguagesA!L102</f>
        <v>Name</v>
      </c>
      <c r="C83" s="280"/>
      <c r="D83" s="346"/>
      <c r="E83" s="347"/>
      <c r="F83" s="347"/>
      <c r="G83" s="347"/>
      <c r="H83" s="347"/>
      <c r="I83" s="347"/>
      <c r="J83" s="347"/>
      <c r="K83" s="347"/>
      <c r="L83" s="348"/>
      <c r="M83" s="1" t="str">
        <f>A83</f>
        <v>*</v>
      </c>
    </row>
    <row r="84" spans="1:13" ht="35.1" customHeight="1">
      <c r="A84" s="49" t="s">
        <v>0</v>
      </c>
      <c r="B84" s="279" t="str">
        <f>LanguagesA!L103</f>
        <v>Jobtitel: (Für Autor nicht verpflichtend)</v>
      </c>
      <c r="C84" s="280"/>
      <c r="D84" s="346"/>
      <c r="E84" s="347"/>
      <c r="F84" s="347"/>
      <c r="G84" s="347"/>
      <c r="H84" s="347"/>
      <c r="I84" s="347"/>
      <c r="J84" s="347"/>
      <c r="K84" s="347"/>
      <c r="L84" s="348"/>
      <c r="M84" s="1" t="str">
        <f>A84</f>
        <v>*</v>
      </c>
    </row>
    <row r="85" spans="1:13" ht="35.1" customHeight="1">
      <c r="A85" s="49" t="s">
        <v>0</v>
      </c>
      <c r="B85" s="279" t="str">
        <f>LanguagesA!L104</f>
        <v>Unterschrift</v>
      </c>
      <c r="C85" s="280"/>
      <c r="D85" s="261"/>
      <c r="E85" s="262"/>
      <c r="F85" s="262"/>
      <c r="G85" s="262"/>
      <c r="H85" s="262"/>
      <c r="I85" s="262"/>
      <c r="J85" s="262"/>
      <c r="K85" s="262"/>
      <c r="L85" s="174"/>
      <c r="M85" s="1" t="str">
        <f>A85</f>
        <v>*</v>
      </c>
    </row>
    <row r="86" spans="1:13" ht="35.1" customHeight="1">
      <c r="A86" s="49" t="s">
        <v>0</v>
      </c>
      <c r="B86" s="279" t="str">
        <f>LanguagesA!L255</f>
        <v>E-Mail-Adresse</v>
      </c>
      <c r="C86" s="280"/>
      <c r="D86" s="346"/>
      <c r="E86" s="347"/>
      <c r="F86" s="347"/>
      <c r="G86" s="347"/>
      <c r="H86" s="347"/>
      <c r="I86" s="347"/>
      <c r="J86" s="347"/>
      <c r="K86" s="347"/>
      <c r="L86" s="348"/>
      <c r="M86" s="1" t="s">
        <v>0</v>
      </c>
    </row>
    <row r="87" spans="1:13" s="2" customFormat="1" ht="23.4" customHeight="1">
      <c r="A87" s="400" t="str">
        <f>LanguagesA!L96</f>
        <v>EINREICHUNG FORMULAR</v>
      </c>
      <c r="B87" s="401"/>
      <c r="C87" s="401"/>
      <c r="D87" s="401"/>
      <c r="E87" s="401"/>
      <c r="F87" s="401"/>
      <c r="G87" s="401"/>
      <c r="H87" s="401"/>
      <c r="I87" s="401"/>
      <c r="J87" s="401"/>
      <c r="K87" s="401"/>
      <c r="L87" s="402"/>
      <c r="M87" s="2" t="s">
        <v>0</v>
      </c>
    </row>
    <row r="88" spans="1:13" ht="71.25" customHeight="1" thickBot="1">
      <c r="A88" s="135"/>
      <c r="B88" s="581" t="str">
        <f>LanguagesA!L106</f>
        <v xml:space="preserve">Bitte speichern Sie das Excel-Sheet als PDF-Datei und die vollständig ausgefüllte und unterzeichnete PDF, sowie alle weiteren relevanten Unterlagen senden Sie bitte an: ap.globalvendormaintenance@lexisnexis.com und accounting@lexisnexis.at </v>
      </c>
      <c r="C88" s="581"/>
      <c r="D88" s="581"/>
      <c r="E88" s="581"/>
      <c r="F88" s="581"/>
      <c r="G88" s="581"/>
      <c r="H88" s="581"/>
      <c r="I88" s="581"/>
      <c r="J88" s="581"/>
      <c r="K88" s="581"/>
      <c r="L88" s="136"/>
      <c r="M88" s="2" t="s">
        <v>0</v>
      </c>
    </row>
    <row r="89" spans="1:13" ht="25.5" customHeight="1" thickBot="1">
      <c r="A89" s="461" t="str">
        <f>LanguagesA!L42</f>
        <v>Nur für den internen Gebrauch der Buchhaltung</v>
      </c>
      <c r="B89" s="462"/>
      <c r="C89" s="462"/>
      <c r="D89" s="462"/>
      <c r="E89" s="462"/>
      <c r="F89" s="462"/>
      <c r="G89" s="462"/>
      <c r="H89" s="462"/>
      <c r="I89" s="462"/>
      <c r="J89" s="462"/>
      <c r="K89" s="462"/>
      <c r="L89" s="463"/>
      <c r="M89" s="1" t="s">
        <v>0</v>
      </c>
    </row>
    <row r="90" spans="1:13">
      <c r="A90" s="158"/>
      <c r="B90" s="405" t="s">
        <v>33</v>
      </c>
      <c r="C90" s="405"/>
      <c r="D90" s="405"/>
      <c r="E90" s="405"/>
      <c r="F90" s="430" t="str">
        <f>IF(E18&gt;"",E18,"")</f>
        <v>Jana Eisenstädter</v>
      </c>
      <c r="G90" s="430"/>
      <c r="H90" s="430"/>
      <c r="I90" s="430"/>
      <c r="J90" s="430"/>
      <c r="K90" s="430"/>
      <c r="L90" s="159"/>
      <c r="M90" s="1" t="s">
        <v>0</v>
      </c>
    </row>
    <row r="91" spans="1:13" ht="29.4" customHeight="1">
      <c r="A91" s="126"/>
      <c r="B91" s="406" t="s">
        <v>34</v>
      </c>
      <c r="C91" s="406"/>
      <c r="D91" s="406"/>
      <c r="E91" s="406"/>
      <c r="F91" s="399" t="str">
        <f>IF(E9=Languages!L108,"",E9)</f>
        <v>Lieferanten-/Autorendetails ändern/aktualisieren</v>
      </c>
      <c r="G91" s="399"/>
      <c r="H91" s="399"/>
      <c r="I91" s="399"/>
      <c r="J91" s="399"/>
      <c r="K91" s="399"/>
      <c r="L91" s="91"/>
      <c r="M91" s="1" t="s">
        <v>0</v>
      </c>
    </row>
    <row r="92" spans="1:13">
      <c r="A92" s="126"/>
      <c r="B92" s="406" t="s">
        <v>35</v>
      </c>
      <c r="C92" s="406"/>
      <c r="D92" s="406"/>
      <c r="E92" s="406"/>
      <c r="F92" s="399" t="str">
        <f>IF(ledger1&lt;&gt;"Select One…",ledger1,"")</f>
        <v>Austria</v>
      </c>
      <c r="G92" s="399"/>
      <c r="H92" s="399"/>
      <c r="I92" s="399"/>
      <c r="J92" s="399"/>
      <c r="K92" s="399"/>
      <c r="L92" s="91"/>
      <c r="M92" s="1" t="s">
        <v>0</v>
      </c>
    </row>
    <row r="93" spans="1:13">
      <c r="A93" s="126"/>
      <c r="B93" s="406" t="s">
        <v>36</v>
      </c>
      <c r="C93" s="406"/>
      <c r="D93" s="406"/>
      <c r="E93" s="406"/>
      <c r="F93" s="399" t="str">
        <f>IF('VM Team Conditions'!F1&gt;"",'VM Team Conditions'!F1,"")</f>
        <v>Net 30</v>
      </c>
      <c r="G93" s="399"/>
      <c r="H93" s="399"/>
      <c r="I93" s="399"/>
      <c r="J93" s="399"/>
      <c r="K93" s="399"/>
      <c r="L93" s="91"/>
      <c r="M93" s="1" t="s">
        <v>0</v>
      </c>
    </row>
    <row r="94" spans="1:13">
      <c r="A94" s="126"/>
      <c r="B94" s="406" t="s">
        <v>37</v>
      </c>
      <c r="C94" s="406"/>
      <c r="D94" s="406"/>
      <c r="E94" s="406"/>
      <c r="F94" s="399">
        <f>I11</f>
        <v>0</v>
      </c>
      <c r="G94" s="399"/>
      <c r="H94" s="399"/>
      <c r="I94" s="399"/>
      <c r="J94" s="399"/>
      <c r="K94" s="399"/>
      <c r="L94" s="91"/>
      <c r="M94" s="1" t="s">
        <v>0</v>
      </c>
    </row>
  </sheetData>
  <sheetProtection algorithmName="SHA-512" hashValue="8XBBMFWGoXGTIn/CM1WTsQ7HxBPhJJDH7aY67n47y2c1izNh1/NJSkH7p8kq3ob1CqYAeOsHtVDCUQIk3JICsA==" saltValue="i8rx+TL6xgUMCCD4bdwwDA==" spinCount="100000" sheet="1" objects="1" scenarios="1"/>
  <mergeCells count="171">
    <mergeCell ref="A1:L1"/>
    <mergeCell ref="A2:L2"/>
    <mergeCell ref="A3:K3"/>
    <mergeCell ref="B4:D4"/>
    <mergeCell ref="E4:K4"/>
    <mergeCell ref="B5:K5"/>
    <mergeCell ref="A10:A11"/>
    <mergeCell ref="B10:D10"/>
    <mergeCell ref="E10:H10"/>
    <mergeCell ref="I10:L10"/>
    <mergeCell ref="B11:D11"/>
    <mergeCell ref="E11:H11"/>
    <mergeCell ref="I11:L11"/>
    <mergeCell ref="A6:L6"/>
    <mergeCell ref="B7:H7"/>
    <mergeCell ref="J7:K7"/>
    <mergeCell ref="B8:D8"/>
    <mergeCell ref="E8:L8"/>
    <mergeCell ref="B9:D9"/>
    <mergeCell ref="E9:K9"/>
    <mergeCell ref="B18:D18"/>
    <mergeCell ref="E18:L18"/>
    <mergeCell ref="B17:C17"/>
    <mergeCell ref="D17:K17"/>
    <mergeCell ref="B15:D15"/>
    <mergeCell ref="E15:K15"/>
    <mergeCell ref="B16:D16"/>
    <mergeCell ref="E16:K16"/>
    <mergeCell ref="B12:D12"/>
    <mergeCell ref="E12:K12"/>
    <mergeCell ref="B13:D13"/>
    <mergeCell ref="E13:L13"/>
    <mergeCell ref="B14:D14"/>
    <mergeCell ref="E14:K14"/>
    <mergeCell ref="B21:I21"/>
    <mergeCell ref="J21:K21"/>
    <mergeCell ref="B22:D22"/>
    <mergeCell ref="E22:K22"/>
    <mergeCell ref="B23:I23"/>
    <mergeCell ref="J23:K23"/>
    <mergeCell ref="B19:D19"/>
    <mergeCell ref="E19:L19"/>
    <mergeCell ref="B20:D20"/>
    <mergeCell ref="E20:K20"/>
    <mergeCell ref="B27:I27"/>
    <mergeCell ref="J27:K27"/>
    <mergeCell ref="B28:I28"/>
    <mergeCell ref="J28:K28"/>
    <mergeCell ref="B29:I29"/>
    <mergeCell ref="J29:K29"/>
    <mergeCell ref="B24:D24"/>
    <mergeCell ref="E24:L24"/>
    <mergeCell ref="B25:G25"/>
    <mergeCell ref="H25:K25"/>
    <mergeCell ref="B26:I26"/>
    <mergeCell ref="J26:K26"/>
    <mergeCell ref="B39:F39"/>
    <mergeCell ref="G39:L39"/>
    <mergeCell ref="B34:K34"/>
    <mergeCell ref="A35:L35"/>
    <mergeCell ref="B36:K36"/>
    <mergeCell ref="B37:J37"/>
    <mergeCell ref="B38:H38"/>
    <mergeCell ref="J38:K38"/>
    <mergeCell ref="B30:K30"/>
    <mergeCell ref="B31:H31"/>
    <mergeCell ref="I31:K31"/>
    <mergeCell ref="B32:J32"/>
    <mergeCell ref="B33:D33"/>
    <mergeCell ref="E33:L33"/>
    <mergeCell ref="B42:F42"/>
    <mergeCell ref="G42:K42"/>
    <mergeCell ref="B43:K43"/>
    <mergeCell ref="B40:F40"/>
    <mergeCell ref="G40:K40"/>
    <mergeCell ref="B41:F41"/>
    <mergeCell ref="G41:K41"/>
    <mergeCell ref="C44:L44"/>
    <mergeCell ref="B45:F45"/>
    <mergeCell ref="G45:L45"/>
    <mergeCell ref="B51:F51"/>
    <mergeCell ref="G51:L51"/>
    <mergeCell ref="B52:F52"/>
    <mergeCell ref="G52:L52"/>
    <mergeCell ref="B50:F50"/>
    <mergeCell ref="G50:L50"/>
    <mergeCell ref="B49:F49"/>
    <mergeCell ref="G49:L49"/>
    <mergeCell ref="B46:F46"/>
    <mergeCell ref="G46:L46"/>
    <mergeCell ref="B47:F47"/>
    <mergeCell ref="G47:L47"/>
    <mergeCell ref="B48:F48"/>
    <mergeCell ref="G48:L48"/>
    <mergeCell ref="B57:F57"/>
    <mergeCell ref="G57:L57"/>
    <mergeCell ref="B58:F58"/>
    <mergeCell ref="G58:L58"/>
    <mergeCell ref="B59:F59"/>
    <mergeCell ref="G59:L59"/>
    <mergeCell ref="B53:K53"/>
    <mergeCell ref="B54:F54"/>
    <mergeCell ref="G54:L54"/>
    <mergeCell ref="B55:K55"/>
    <mergeCell ref="B56:F56"/>
    <mergeCell ref="G56:L56"/>
    <mergeCell ref="B63:F63"/>
    <mergeCell ref="G63:L63"/>
    <mergeCell ref="B64:F64"/>
    <mergeCell ref="G64:L64"/>
    <mergeCell ref="B60:F60"/>
    <mergeCell ref="G60:L60"/>
    <mergeCell ref="B61:F61"/>
    <mergeCell ref="G61:L61"/>
    <mergeCell ref="B62:F62"/>
    <mergeCell ref="G62:L62"/>
    <mergeCell ref="B69:F69"/>
    <mergeCell ref="G69:L69"/>
    <mergeCell ref="B67:F67"/>
    <mergeCell ref="G67:L67"/>
    <mergeCell ref="B68:F68"/>
    <mergeCell ref="B66:F66"/>
    <mergeCell ref="G66:K66"/>
    <mergeCell ref="N69:S69"/>
    <mergeCell ref="B65:F65"/>
    <mergeCell ref="G65:H65"/>
    <mergeCell ref="I65:L65"/>
    <mergeCell ref="B73:C73"/>
    <mergeCell ref="D73:L73"/>
    <mergeCell ref="B74:H74"/>
    <mergeCell ref="I74:K74"/>
    <mergeCell ref="B75:C75"/>
    <mergeCell ref="D75:L75"/>
    <mergeCell ref="B70:F70"/>
    <mergeCell ref="G70:L70"/>
    <mergeCell ref="B71:F71"/>
    <mergeCell ref="G71:K71"/>
    <mergeCell ref="B72:C72"/>
    <mergeCell ref="D72:L72"/>
    <mergeCell ref="C80:J80"/>
    <mergeCell ref="B78:C78"/>
    <mergeCell ref="D78:L78"/>
    <mergeCell ref="B79:C79"/>
    <mergeCell ref="D79:L79"/>
    <mergeCell ref="B77:C77"/>
    <mergeCell ref="D77:L77"/>
    <mergeCell ref="B76:C76"/>
    <mergeCell ref="D76:L76"/>
    <mergeCell ref="A87:L87"/>
    <mergeCell ref="B84:C84"/>
    <mergeCell ref="D84:L84"/>
    <mergeCell ref="B86:C86"/>
    <mergeCell ref="D86:L86"/>
    <mergeCell ref="B85:C85"/>
    <mergeCell ref="B88:K88"/>
    <mergeCell ref="A81:L81"/>
    <mergeCell ref="B82:C82"/>
    <mergeCell ref="D82:L82"/>
    <mergeCell ref="B83:C83"/>
    <mergeCell ref="D83:L83"/>
    <mergeCell ref="B94:E94"/>
    <mergeCell ref="F94:K94"/>
    <mergeCell ref="B91:E91"/>
    <mergeCell ref="F91:K91"/>
    <mergeCell ref="B92:E92"/>
    <mergeCell ref="F92:K92"/>
    <mergeCell ref="B93:E93"/>
    <mergeCell ref="F93:K93"/>
    <mergeCell ref="A89:L89"/>
    <mergeCell ref="B90:E90"/>
    <mergeCell ref="F90:K90"/>
  </mergeCells>
  <conditionalFormatting sqref="A85:A86">
    <cfRule type="expression" dxfId="64" priority="79">
      <formula>#REF!="YES"</formula>
    </cfRule>
  </conditionalFormatting>
  <conditionalFormatting sqref="A80:C80 K80:L80">
    <cfRule type="expression" dxfId="63" priority="31">
      <formula>$A$80="*"</formula>
    </cfRule>
  </conditionalFormatting>
  <conditionalFormatting sqref="A82:F84">
    <cfRule type="expression" dxfId="62" priority="68">
      <formula>#REF!="YES"</formula>
    </cfRule>
  </conditionalFormatting>
  <conditionalFormatting sqref="A10:K11">
    <cfRule type="expression" dxfId="61" priority="41">
      <formula>$A$10&lt;&gt;"*"</formula>
    </cfRule>
  </conditionalFormatting>
  <conditionalFormatting sqref="A13:K13">
    <cfRule type="expression" dxfId="60" priority="39">
      <formula>$A$13&lt;&gt;"*"</formula>
    </cfRule>
  </conditionalFormatting>
  <conditionalFormatting sqref="A33:K33">
    <cfRule type="expression" dxfId="59" priority="56">
      <formula>$A$33&lt;&gt;"*"</formula>
    </cfRule>
  </conditionalFormatting>
  <conditionalFormatting sqref="A67:K67">
    <cfRule type="expression" dxfId="58" priority="107">
      <formula>$A$66&lt;&gt;"*"</formula>
    </cfRule>
  </conditionalFormatting>
  <conditionalFormatting sqref="A70:K70">
    <cfRule type="expression" dxfId="57" priority="103">
      <formula>$A$70&lt;&gt;"*"</formula>
    </cfRule>
  </conditionalFormatting>
  <conditionalFormatting sqref="A12:L12">
    <cfRule type="expression" dxfId="51" priority="40">
      <formula>$A$12&lt;&gt;"*"</formula>
    </cfRule>
  </conditionalFormatting>
  <conditionalFormatting sqref="A21:L21">
    <cfRule type="expression" dxfId="50" priority="8">
      <formula>$A$21&lt;&gt;"*"</formula>
    </cfRule>
  </conditionalFormatting>
  <conditionalFormatting sqref="A22:L22">
    <cfRule type="expression" dxfId="49" priority="22">
      <formula>$A$22&lt;&gt;"*"</formula>
    </cfRule>
  </conditionalFormatting>
  <conditionalFormatting sqref="A23:L23">
    <cfRule type="expression" dxfId="48" priority="21">
      <formula>$A$23&lt;&gt;"*"</formula>
    </cfRule>
  </conditionalFormatting>
  <conditionalFormatting sqref="A24:L24">
    <cfRule type="expression" dxfId="47" priority="87">
      <formula>$A$24&lt;&gt;"*"</formula>
    </cfRule>
  </conditionalFormatting>
  <conditionalFormatting sqref="A29:L29">
    <cfRule type="expression" dxfId="45" priority="38">
      <formula>$A$29&lt;&gt;"*"</formula>
    </cfRule>
  </conditionalFormatting>
  <conditionalFormatting sqref="A30:L30">
    <cfRule type="expression" dxfId="44" priority="42">
      <formula>$A$30&lt;&gt;"*"</formula>
    </cfRule>
  </conditionalFormatting>
  <conditionalFormatting sqref="A31:L31">
    <cfRule type="expression" dxfId="43" priority="37">
      <formula>$A$31&lt;&gt;"*"</formula>
    </cfRule>
  </conditionalFormatting>
  <conditionalFormatting sqref="A37:L37">
    <cfRule type="expression" dxfId="42" priority="24">
      <formula>$A$37="*"</formula>
    </cfRule>
  </conditionalFormatting>
  <conditionalFormatting sqref="A49:L49">
    <cfRule type="expression" dxfId="40" priority="25">
      <formula>$A$49&lt;&gt;"*"</formula>
    </cfRule>
  </conditionalFormatting>
  <conditionalFormatting sqref="A55:L55">
    <cfRule type="expression" dxfId="39" priority="54" stopIfTrue="1">
      <formula>$A$55&lt;&gt;"*"</formula>
    </cfRule>
  </conditionalFormatting>
  <conditionalFormatting sqref="A56:L56">
    <cfRule type="expression" dxfId="38" priority="53" stopIfTrue="1">
      <formula>$A$56&lt;&gt;"*"</formula>
    </cfRule>
  </conditionalFormatting>
  <conditionalFormatting sqref="A57:L57">
    <cfRule type="expression" dxfId="37" priority="52" stopIfTrue="1">
      <formula>$A$57&lt;&gt;"*"</formula>
    </cfRule>
  </conditionalFormatting>
  <conditionalFormatting sqref="A58:L58">
    <cfRule type="expression" dxfId="36" priority="51" stopIfTrue="1">
      <formula>$A$58&lt;&gt;"*"</formula>
    </cfRule>
  </conditionalFormatting>
  <conditionalFormatting sqref="A59:L59">
    <cfRule type="expression" dxfId="35" priority="50" stopIfTrue="1">
      <formula>$A$59&lt;&gt;"*"</formula>
    </cfRule>
  </conditionalFormatting>
  <conditionalFormatting sqref="A60:L60">
    <cfRule type="expression" dxfId="34" priority="49" stopIfTrue="1">
      <formula>$A$60&lt;&gt;"*"</formula>
    </cfRule>
  </conditionalFormatting>
  <conditionalFormatting sqref="A61:L61">
    <cfRule type="expression" dxfId="33" priority="120">
      <formula>$A$61&lt;&gt;"*"</formula>
    </cfRule>
  </conditionalFormatting>
  <conditionalFormatting sqref="A62:L62">
    <cfRule type="expression" dxfId="32" priority="48" stopIfTrue="1">
      <formula>$A$62&lt;&gt;"*"</formula>
    </cfRule>
  </conditionalFormatting>
  <conditionalFormatting sqref="A63:L63">
    <cfRule type="expression" dxfId="31" priority="23">
      <formula>$A$63&lt;&gt;"*"</formula>
    </cfRule>
  </conditionalFormatting>
  <conditionalFormatting sqref="A66:L66">
    <cfRule type="expression" dxfId="30" priority="108">
      <formula>$A$66&lt;&gt;"*"</formula>
    </cfRule>
  </conditionalFormatting>
  <conditionalFormatting sqref="A68:L68">
    <cfRule type="expression" dxfId="29" priority="3">
      <formula>$A$68&lt;&gt;"*"</formula>
    </cfRule>
  </conditionalFormatting>
  <conditionalFormatting sqref="A71:L71">
    <cfRule type="expression" dxfId="28" priority="18">
      <formula>$A$71&lt;&gt;"*"</formula>
    </cfRule>
  </conditionalFormatting>
  <conditionalFormatting sqref="A89:L94">
    <cfRule type="expression" dxfId="27" priority="122">
      <formula>$E$15="China"</formula>
    </cfRule>
  </conditionalFormatting>
  <conditionalFormatting sqref="B85 D85:F85">
    <cfRule type="expression" dxfId="26" priority="80">
      <formula>#REF!="YES"</formula>
    </cfRule>
  </conditionalFormatting>
  <conditionalFormatting sqref="B86:F86">
    <cfRule type="expression" dxfId="25" priority="78">
      <formula>#REF!="YES"</formula>
    </cfRule>
  </conditionalFormatting>
  <dataValidations count="2">
    <dataValidation type="list" allowBlank="1" showInputMessage="1" showErrorMessage="1" sqref="G66:K66" xr:uid="{D408F45D-C9C2-42EA-B39D-995231B666A7}">
      <formula1>munichvat</formula1>
    </dataValidation>
    <dataValidation type="list" allowBlank="1" showInputMessage="1" showErrorMessage="1" sqref="G40:K41" xr:uid="{86D428F2-E387-4154-BB7B-2C0A12D52ED4}">
      <formula1>countries</formula1>
    </dataValidation>
  </dataValidations>
  <hyperlinks>
    <hyperlink ref="K37" location="'Invoicing Requirements'!A2" display="Click" xr:uid="{9ABC2710-1A5A-4E9D-B74C-FC2C02472C7E}"/>
  </hyperlinks>
  <printOptions horizontalCentered="1"/>
  <pageMargins left="0.25" right="0.25" top="0.25" bottom="0.25" header="0.3" footer="0.3"/>
  <pageSetup paperSize="9" scale="9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99" id="{33E329DF-4625-419A-B00A-AC59E3FB2915}">
            <xm:f>Conditions!$T$1=0</xm:f>
            <x14:dxf>
              <font>
                <color rgb="FFDCDCDC"/>
              </font>
              <fill>
                <patternFill>
                  <bgColor rgb="FFDCDCDC"/>
                </patternFill>
              </fill>
            </x14:dxf>
          </x14:cfRule>
          <x14:cfRule type="expression" priority="100" id="{8E5085AE-5EDB-4F3B-8D2B-CA3DF314B7CA}">
            <xm:f>Conditions!$R$1=0</xm:f>
            <x14:dxf>
              <font>
                <color rgb="FFDCDCDC"/>
              </font>
              <fill>
                <patternFill>
                  <bgColor rgb="FFDCDCDC"/>
                </patternFill>
              </fill>
            </x14:dxf>
          </x14:cfRule>
          <xm:sqref>A76:K76</xm:sqref>
        </x14:conditionalFormatting>
        <x14:conditionalFormatting xmlns:xm="http://schemas.microsoft.com/office/excel/2006/main">
          <x14:cfRule type="expression" priority="97" id="{20B12CB0-27B3-4991-B36B-889CF627B850}">
            <xm:f>Conditions!$W$1=0</xm:f>
            <x14:dxf>
              <font>
                <color rgb="FFDCDCDC"/>
              </font>
              <fill>
                <patternFill>
                  <bgColor rgb="FFDCDCDC"/>
                </patternFill>
              </fill>
            </x14:dxf>
          </x14:cfRule>
          <x14:cfRule type="expression" priority="98" id="{682E7C91-8842-4478-88F1-B6B1F79B40AF}">
            <xm:f>Conditions!$V$1=0</xm:f>
            <x14:dxf>
              <font>
                <color rgb="FFDCDCDC"/>
              </font>
              <fill>
                <patternFill>
                  <bgColor rgb="FFDCDCDC"/>
                </patternFill>
              </fill>
            </x14:dxf>
          </x14:cfRule>
          <xm:sqref>A77:K77</xm:sqref>
        </x14:conditionalFormatting>
        <x14:conditionalFormatting xmlns:xm="http://schemas.microsoft.com/office/excel/2006/main">
          <x14:cfRule type="expression" priority="95" id="{0EC5FA95-ECBE-4AC3-B6FF-4F1046C8279F}">
            <xm:f>Conditions!$AC$1=0</xm:f>
            <x14:dxf>
              <font>
                <color rgb="FFDCDCDC"/>
              </font>
              <fill>
                <patternFill>
                  <bgColor rgb="FFDCDCDC"/>
                </patternFill>
              </fill>
            </x14:dxf>
          </x14:cfRule>
          <xm:sqref>A78:K78</xm:sqref>
        </x14:conditionalFormatting>
        <x14:conditionalFormatting xmlns:xm="http://schemas.microsoft.com/office/excel/2006/main">
          <x14:cfRule type="expression" priority="2" id="{45687F61-1151-4646-8D73-D9F5227AD690}">
            <xm:f>$D$17=LanguagesA!$L$126</xm:f>
            <x14:dxf>
              <font>
                <color theme="0" tint="-0.14996795556505021"/>
              </font>
              <fill>
                <patternFill>
                  <bgColor theme="0" tint="-0.14996795556505021"/>
                </patternFill>
              </fill>
            </x14:dxf>
          </x14:cfRule>
          <xm:sqref>A25:L28</xm:sqref>
        </x14:conditionalFormatting>
        <x14:conditionalFormatting xmlns:xm="http://schemas.microsoft.com/office/excel/2006/main">
          <x14:cfRule type="expression" priority="1" id="{B72B0F03-D3E8-447A-A95F-5109BA6B8AC8}">
            <xm:f>$D$17=LanguagesA!$L$126</xm:f>
            <x14:dxf>
              <font>
                <color theme="0" tint="-0.14996795556505021"/>
              </font>
              <fill>
                <patternFill>
                  <bgColor theme="0" tint="-0.14996795556505021"/>
                </patternFill>
              </fill>
            </x14:dxf>
          </x14:cfRule>
          <xm:sqref>A43:L44</xm:sqref>
        </x14:conditionalFormatting>
      </x14:conditionalFormattings>
    </ext>
    <ext xmlns:x14="http://schemas.microsoft.com/office/spreadsheetml/2009/9/main" uri="{CCE6A557-97BC-4b89-ADB6-D9C93CAAB3DF}">
      <x14:dataValidations xmlns:xm="http://schemas.microsoft.com/office/excel/2006/main" count="13">
        <x14:dataValidation type="list" showInputMessage="1" showErrorMessage="1" errorTitle="Incorrect Value" error="You have entered an incorrect value for this field.  Select a valid option from the drop down list." xr:uid="{C09315F6-FB79-45AB-A08E-26D6BB993196}">
          <x14:formula1>
            <xm:f>'Drop Down Lists'!$E$31:$E$50</xm:f>
          </x14:formula1>
          <xm:sqref>D17:K17</xm:sqref>
        </x14:dataValidation>
        <x14:dataValidation type="list" allowBlank="1" showInputMessage="1" showErrorMessage="1" xr:uid="{409CCE0F-A365-4F45-9B13-5EFE091E5DE1}">
          <x14:formula1>
            <xm:f>'Drop Down Lists'!$C$71:$C$79</xm:f>
          </x14:formula1>
          <xm:sqref>G42:K42</xm:sqref>
        </x14:dataValidation>
        <x14:dataValidation type="list" allowBlank="1" showInputMessage="1" showErrorMessage="1" xr:uid="{EB61B9F1-235E-4BF9-BAD8-2A0DAE1B728C}">
          <x14:formula1>
            <xm:f>'Drop Down Lists'!$B$103:$B$106</xm:f>
          </x14:formula1>
          <xm:sqref>E16:K16</xm:sqref>
        </x14:dataValidation>
        <x14:dataValidation type="list" allowBlank="1" showInputMessage="1" showErrorMessage="1" xr:uid="{919E0A4A-751A-4813-805E-D29426A726A5}">
          <x14:formula1>
            <xm:f>'Drop Down Lists'!$G$29:$G$32</xm:f>
          </x14:formula1>
          <xm:sqref>J28:K28</xm:sqref>
        </x14:dataValidation>
        <x14:dataValidation type="list" allowBlank="1" showInputMessage="1" showErrorMessage="1" xr:uid="{570D828D-0384-45F9-AAE1-1F9617675321}">
          <x14:formula1>
            <xm:f>'Drop Down Lists'!$F$35:$F$41</xm:f>
          </x14:formula1>
          <xm:sqref>H25:K25</xm:sqref>
        </x14:dataValidation>
        <x14:dataValidation type="list" allowBlank="1" showInputMessage="1" showErrorMessage="1" xr:uid="{1E4F2F34-7ADD-4764-92CE-0AA581B9FAB0}">
          <x14:formula1>
            <xm:f>'Drop Down Lists'!$M$8:$M$12</xm:f>
          </x14:formula1>
          <xm:sqref>E14:K14</xm:sqref>
        </x14:dataValidation>
        <x14:dataValidation type="list" allowBlank="1" showInputMessage="1" showErrorMessage="1" xr:uid="{73D261AD-E021-43EE-8AF3-CF4368FB3E3C}">
          <x14:formula1>
            <xm:f>'Drop Down Lists'!$C$41:$C$46</xm:f>
          </x14:formula1>
          <xm:sqref>E12:K12</xm:sqref>
        </x14:dataValidation>
        <x14:dataValidation type="list" allowBlank="1" showErrorMessage="1" errorTitle="Incorrect Value" error="You have entered an incorrect value for this field.  Please select a value from the drop down list." xr:uid="{9C1DDBB3-5706-4934-A596-51DB3EA1EEB8}">
          <x14:formula1>
            <xm:f>'Drop Down Lists'!$B$29:$B$32</xm:f>
          </x14:formula1>
          <xm:sqref>E9:K9</xm:sqref>
        </x14:dataValidation>
        <x14:dataValidation type="list" allowBlank="1" showInputMessage="1" showErrorMessage="1" xr:uid="{AA84D580-FAFE-4DF0-8E98-B223D2A6EFB7}">
          <x14:formula1>
            <xm:f>'Drop Down Lists'!$R$12:$R$14</xm:f>
          </x14:formula1>
          <xm:sqref>E4:K4</xm:sqref>
        </x14:dataValidation>
        <x14:dataValidation type="list" allowBlank="1" showInputMessage="1" showErrorMessage="1" xr:uid="{584B382D-26AE-4028-A813-9111EAB8875A}">
          <x14:formula1>
            <xm:f>'Drop Down Lists'!$A$17:$A$19</xm:f>
          </x14:formula1>
          <xm:sqref>K32 J21:K21 J26:K27 J29:K29 I31:K31</xm:sqref>
        </x14:dataValidation>
        <x14:dataValidation type="list" allowBlank="1" showInputMessage="1" showErrorMessage="1" xr:uid="{BE9AD3E5-E862-4F49-8C1A-BF0916CCB5AB}">
          <x14:formula1>
            <xm:f>'Drop Down Lists'!$S$251:$S$496</xm:f>
          </x14:formula1>
          <xm:sqref>I74:K74</xm:sqref>
        </x14:dataValidation>
        <x14:dataValidation type="list" allowBlank="1" showInputMessage="1" showErrorMessage="1" xr:uid="{EF4189D9-AE2A-4B25-8252-5DAA362AA6F1}">
          <x14:formula1>
            <xm:f>'Drop Down Lists'!$N$1:$N$28</xm:f>
          </x14:formula1>
          <xm:sqref>E15:K15</xm:sqref>
        </x14:dataValidation>
        <x14:dataValidation type="list" allowBlank="1" showInputMessage="1" showErrorMessage="1" xr:uid="{AABD9C43-6FCA-43BB-9EA7-97DE39F83727}">
          <x14:formula1>
            <xm:f>'Drop Down Lists'!$L$96:$L$115</xm:f>
          </x14:formula1>
          <xm:sqref>C44:L44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8407DE-48F9-49EA-827D-21786279C21D}">
  <sheetPr codeName="Sheet7"/>
  <dimension ref="A1:M255"/>
  <sheetViews>
    <sheetView workbookViewId="0">
      <pane xSplit="1" ySplit="2" topLeftCell="B104" activePane="bottomRight" state="frozen"/>
      <selection pane="topRight" activeCell="B53" sqref="B53"/>
      <selection pane="bottomLeft" activeCell="B53" sqref="B53"/>
      <selection pane="bottomRight" activeCell="C105" sqref="C105"/>
    </sheetView>
  </sheetViews>
  <sheetFormatPr baseColWidth="10" defaultColWidth="8.6640625" defaultRowHeight="14.4"/>
  <cols>
    <col min="1" max="1" width="26.6640625" customWidth="1"/>
    <col min="2" max="2" width="1.88671875" style="109" bestFit="1" customWidth="1"/>
    <col min="3" max="3" width="42.5546875" bestFit="1" customWidth="1"/>
    <col min="4" max="4" width="1.44140625" style="109" customWidth="1"/>
    <col min="5" max="5" width="12" customWidth="1"/>
    <col min="6" max="6" width="22.6640625" customWidth="1"/>
    <col min="7" max="7" width="17" customWidth="1"/>
    <col min="8" max="8" width="14.33203125" customWidth="1"/>
    <col min="9" max="9" width="7" customWidth="1"/>
    <col min="10" max="10" width="7.88671875" customWidth="1"/>
    <col min="11" max="11" width="43" customWidth="1"/>
    <col min="12" max="12" width="40.88671875" customWidth="1"/>
  </cols>
  <sheetData>
    <row r="1" spans="1:13" ht="30" customHeight="1">
      <c r="A1" s="525" t="s">
        <v>117</v>
      </c>
      <c r="B1" s="525"/>
      <c r="C1" s="525"/>
      <c r="D1" s="114"/>
      <c r="E1" s="8" t="str">
        <f>'LN Austria Germany Form'!E4</f>
        <v>German</v>
      </c>
      <c r="F1" s="100" t="s">
        <v>118</v>
      </c>
      <c r="G1" s="8"/>
      <c r="H1" s="8"/>
      <c r="I1" s="8"/>
      <c r="K1" s="8"/>
      <c r="L1" s="8"/>
    </row>
    <row r="2" spans="1:13">
      <c r="A2" s="9" t="s">
        <v>119</v>
      </c>
      <c r="B2" s="115"/>
      <c r="C2" s="9" t="s">
        <v>120</v>
      </c>
      <c r="D2" s="115"/>
      <c r="E2" s="9" t="s">
        <v>121</v>
      </c>
      <c r="F2" s="9" t="s">
        <v>122</v>
      </c>
      <c r="G2" s="9" t="s">
        <v>123</v>
      </c>
      <c r="H2" s="9" t="s">
        <v>124</v>
      </c>
      <c r="I2" s="9" t="s">
        <v>125</v>
      </c>
      <c r="J2" s="9" t="s">
        <v>126</v>
      </c>
      <c r="K2" s="9" t="s">
        <v>127</v>
      </c>
      <c r="L2" s="9" t="s">
        <v>128</v>
      </c>
      <c r="M2" s="9"/>
    </row>
    <row r="3" spans="1:13">
      <c r="A3" s="12" t="s">
        <v>129</v>
      </c>
      <c r="B3" s="12" t="s">
        <v>130</v>
      </c>
      <c r="C3" s="8" t="s">
        <v>131</v>
      </c>
      <c r="D3" s="109" t="s">
        <v>132</v>
      </c>
      <c r="E3" s="8"/>
      <c r="F3" s="8"/>
      <c r="G3" s="8"/>
      <c r="H3" s="8"/>
      <c r="I3" s="8"/>
      <c r="J3" s="8"/>
      <c r="K3" s="8" t="str">
        <f>CONCATENATE($C$3," (Sprache)")</f>
        <v>Language (Sprache)</v>
      </c>
      <c r="L3" s="22" t="str">
        <f>IF($E$1="English",LanguagesA!C3,IF($E$1="Polish",LanguagesA!E3,IF($E$1="Chinese 中文",LanguagesA!F3,IF($E$1="Japanese 日本語",LanguagesA!G3,IF($E$1="Korean 한국어",LanguagesA!H3,IF($E$1="French",LanguagesA!I3,IF($E$1="Spanish",LanguagesA!J3,IF($E$1="German",LanguagesA!K3,C3))))))))</f>
        <v>Language (Sprache)</v>
      </c>
    </row>
    <row r="4" spans="1:13" ht="151.80000000000001">
      <c r="A4" s="13" t="s">
        <v>136</v>
      </c>
      <c r="B4" s="13" t="s">
        <v>130</v>
      </c>
      <c r="C4" s="10" t="s">
        <v>137</v>
      </c>
      <c r="D4" s="171" t="s">
        <v>132</v>
      </c>
      <c r="E4" s="10"/>
      <c r="F4" s="10"/>
      <c r="G4" s="10"/>
      <c r="H4" s="10"/>
      <c r="I4" s="10"/>
      <c r="J4" s="10"/>
      <c r="K4" s="10" t="s">
        <v>2181</v>
      </c>
      <c r="L4" s="10" t="str">
        <f>IF($E$1=$C$2,C4,IF($E$1=$E$2,E4,IF($E$1=$F$2,F4,IF($E$1=$G$2,G4,IF($E$1=$H$2,H4,IF($E$1=$I$2,I4,IF($E$1=$J$2,J4,IF($E$1=$K$2,K4,C4))))))))</f>
        <v>Mithilfe dieses Formulars werden Informationen gesammelt, die unsere Buchhaltung benötigt, um Ihre Honorare auszahlen oder Ihre Rechnungen begleichen zu können. LexisNexis Legal &amp; Professional und RELX wird diese Informationen nicht für andere als die oben genannten Zwecke verwenden. Die Informationen müssen vorliegen, bevor eine Zahlung erfolgen kann. Hinsichtlich der geltenden Bedingungen verweisen wir auf die zwischen Ihnen und Ihrer zuständigen RELX-Business-Einheit geschlossenen Vereinbarung.</v>
      </c>
      <c r="M4" s="11"/>
    </row>
    <row r="5" spans="1:13" ht="27.6">
      <c r="A5" s="13" t="s">
        <v>145</v>
      </c>
      <c r="B5" s="12" t="s">
        <v>130</v>
      </c>
      <c r="C5" s="10" t="s">
        <v>146</v>
      </c>
      <c r="D5" s="109" t="s">
        <v>132</v>
      </c>
      <c r="E5" s="10"/>
      <c r="F5" s="10"/>
      <c r="G5" s="10"/>
      <c r="H5" s="10"/>
      <c r="I5" s="10"/>
      <c r="J5" s="10"/>
      <c r="K5" s="10" t="s">
        <v>2182</v>
      </c>
      <c r="L5" s="10" t="str">
        <f t="shared" ref="L5:L67" si="0">IF($E$1=$C$2,C5,IF($E$1=$E$2,E5,IF($E$1=$F$2,F5,IF($E$1=$G$2,G5,IF($E$1=$H$2,H5,IF($E$1=$I$2,I5,IF($E$1=$J$2,J5,IF($E$1=$K$2,K5,C5))))))))</f>
        <v>Bitte füllen Sie ALLE Pflichtfelder aus und reichen Sie das Formular wie unten angegeben ein.</v>
      </c>
      <c r="M5" s="10"/>
    </row>
    <row r="6" spans="1:13" ht="55.2">
      <c r="A6" s="13" t="s">
        <v>145</v>
      </c>
      <c r="B6" s="12" t="s">
        <v>130</v>
      </c>
      <c r="C6" s="10" t="s">
        <v>154</v>
      </c>
      <c r="E6" s="10"/>
      <c r="F6" s="10"/>
      <c r="G6" s="10"/>
      <c r="H6" s="10"/>
      <c r="I6" s="10"/>
      <c r="J6" s="10"/>
      <c r="K6" s="10" t="s">
        <v>2183</v>
      </c>
      <c r="L6" s="10" t="str">
        <f t="shared" si="0"/>
        <v>Bitte füllen Sie ALLE erforderlichen Felder in diesem Abschnitt aus und leiten Sie das Formular anschließend zur Vervollständigung an Ihren Lieferanten-/Autorenkontakt weiter.</v>
      </c>
      <c r="M6" s="10"/>
    </row>
    <row r="7" spans="1:13" ht="82.8">
      <c r="A7" s="13" t="s">
        <v>162</v>
      </c>
      <c r="B7" s="12" t="s">
        <v>130</v>
      </c>
      <c r="C7" s="10" t="s">
        <v>163</v>
      </c>
      <c r="D7" s="109" t="s">
        <v>132</v>
      </c>
      <c r="E7" s="10"/>
      <c r="F7" s="10"/>
      <c r="G7" s="10"/>
      <c r="H7" s="10"/>
      <c r="I7" s="10"/>
      <c r="J7" s="10"/>
      <c r="K7" s="10" t="s">
        <v>2184</v>
      </c>
      <c r="L7" s="10" t="str">
        <f t="shared" si="0"/>
        <v>Klicken Sie auf das blaue Kästchen, um wichtige Anforderungen von RELX an Rechnungen einzusehen. Wenn Sie diese Anforderungen erfüllen, verringert sich das Risiko verspäteter Zahlungen oder der Ablehnung von Rechnungen. (Gilt nicht für Autoren)</v>
      </c>
      <c r="M7" s="10"/>
    </row>
    <row r="8" spans="1:13" ht="27.6">
      <c r="A8" s="14" t="s">
        <v>171</v>
      </c>
      <c r="B8" s="13" t="s">
        <v>130</v>
      </c>
      <c r="C8" s="10" t="s">
        <v>172</v>
      </c>
      <c r="D8" s="116" t="s">
        <v>132</v>
      </c>
      <c r="E8" s="10"/>
      <c r="F8" s="10"/>
      <c r="G8" s="10"/>
      <c r="H8" s="10"/>
      <c r="I8" s="10"/>
      <c r="J8" s="10"/>
      <c r="K8" s="10" t="s">
        <v>2185</v>
      </c>
      <c r="L8" s="10" t="str">
        <f t="shared" si="0"/>
        <v>Rechnungsanforderungen von LexisNexis Legal &amp; Professional und RELX</v>
      </c>
    </row>
    <row r="9" spans="1:13">
      <c r="A9" s="14" t="s">
        <v>180</v>
      </c>
      <c r="B9" s="12" t="s">
        <v>130</v>
      </c>
      <c r="C9" s="10" t="s">
        <v>181</v>
      </c>
      <c r="D9" s="109" t="s">
        <v>132</v>
      </c>
      <c r="E9" s="85"/>
      <c r="F9" s="10"/>
      <c r="G9" s="10"/>
      <c r="H9" s="10"/>
      <c r="I9" s="85"/>
      <c r="J9" s="85"/>
      <c r="K9" s="10" t="s">
        <v>188</v>
      </c>
      <c r="L9" s="10" t="str">
        <f t="shared" si="0"/>
        <v>Pflichtfeld</v>
      </c>
    </row>
    <row r="10" spans="1:13">
      <c r="A10" s="14" t="s">
        <v>189</v>
      </c>
      <c r="B10" s="13" t="s">
        <v>130</v>
      </c>
      <c r="C10" s="10" t="s">
        <v>190</v>
      </c>
      <c r="D10" s="116" t="s">
        <v>132</v>
      </c>
      <c r="E10" s="85"/>
      <c r="F10" s="10"/>
      <c r="G10" s="10"/>
      <c r="H10" s="10"/>
      <c r="I10" s="85"/>
      <c r="J10" s="85"/>
      <c r="K10" s="10" t="s">
        <v>2186</v>
      </c>
      <c r="L10" s="10" t="str">
        <f t="shared" si="0"/>
        <v>ANMELDEFORMULAR FÜR LIEFERANTEN/AUTOREN</v>
      </c>
    </row>
    <row r="11" spans="1:13" ht="55.2">
      <c r="A11" s="14" t="s">
        <v>198</v>
      </c>
      <c r="B11" s="12" t="s">
        <v>130</v>
      </c>
      <c r="C11" s="10" t="s">
        <v>199</v>
      </c>
      <c r="D11" s="109" t="s">
        <v>132</v>
      </c>
      <c r="E11" s="85"/>
      <c r="F11" s="10"/>
      <c r="G11" s="10"/>
      <c r="H11" s="10"/>
      <c r="I11" s="85"/>
      <c r="J11" s="85"/>
      <c r="K11" s="10" t="s">
        <v>2187</v>
      </c>
      <c r="L11" s="10" t="str">
        <f t="shared" si="0"/>
        <v>Rechnungen und Autorenhonorare können erst bezahlt werden, wenn die entsprechenden Formulare vollständig eingegangen sind und validiert wurden.</v>
      </c>
    </row>
    <row r="12" spans="1:13" ht="27.6">
      <c r="A12" s="14" t="s">
        <v>207</v>
      </c>
      <c r="B12" s="13" t="s">
        <v>130</v>
      </c>
      <c r="C12" s="10" t="s">
        <v>208</v>
      </c>
      <c r="D12" s="116" t="s">
        <v>132</v>
      </c>
      <c r="E12" s="85"/>
      <c r="F12" s="10"/>
      <c r="G12" s="10"/>
      <c r="H12" s="10"/>
      <c r="I12" s="85"/>
      <c r="J12" s="85"/>
      <c r="K12" s="10" t="s">
        <v>2188</v>
      </c>
      <c r="L12" s="10" t="str">
        <f t="shared" si="0"/>
        <v>Für den internen Gebrauch durch LexisNexis Legal &amp; Professional und RELX</v>
      </c>
    </row>
    <row r="13" spans="1:13">
      <c r="A13" s="14" t="s">
        <v>216</v>
      </c>
      <c r="B13" s="12" t="s">
        <v>130</v>
      </c>
      <c r="C13" s="10" t="s">
        <v>217</v>
      </c>
      <c r="D13" s="109" t="s">
        <v>132</v>
      </c>
      <c r="E13" s="85"/>
      <c r="F13" s="10"/>
      <c r="G13" s="10"/>
      <c r="H13" s="10"/>
      <c r="I13" s="85"/>
      <c r="J13" s="85"/>
      <c r="K13" s="10" t="s">
        <v>224</v>
      </c>
      <c r="L13" s="10" t="str">
        <f t="shared" si="0"/>
        <v>Anforderungsdatum</v>
      </c>
    </row>
    <row r="14" spans="1:13">
      <c r="A14" s="14" t="s">
        <v>34</v>
      </c>
      <c r="B14" s="13" t="s">
        <v>130</v>
      </c>
      <c r="C14" s="10" t="s">
        <v>225</v>
      </c>
      <c r="D14" s="116" t="s">
        <v>132</v>
      </c>
      <c r="E14" s="85"/>
      <c r="F14" s="85"/>
      <c r="G14" s="85"/>
      <c r="H14" s="85"/>
      <c r="I14" s="85"/>
      <c r="J14" s="85"/>
      <c r="K14" s="10" t="s">
        <v>2189</v>
      </c>
      <c r="L14" s="10" t="str">
        <f t="shared" si="0"/>
        <v>Grund der Anforderung</v>
      </c>
    </row>
    <row r="15" spans="1:13">
      <c r="A15" s="14" t="s">
        <v>233</v>
      </c>
      <c r="B15" s="12" t="s">
        <v>130</v>
      </c>
      <c r="C15" s="10" t="s">
        <v>234</v>
      </c>
      <c r="D15" s="109" t="s">
        <v>132</v>
      </c>
      <c r="E15" s="85"/>
      <c r="F15" s="10"/>
      <c r="G15" s="10"/>
      <c r="H15" s="10"/>
      <c r="I15" s="85"/>
      <c r="J15" s="85"/>
      <c r="K15" s="10" t="s">
        <v>2190</v>
      </c>
      <c r="L15" s="10" t="str">
        <f t="shared" si="0"/>
        <v>Änderung Stammdaten:</v>
      </c>
    </row>
    <row r="16" spans="1:13">
      <c r="A16" s="14" t="s">
        <v>242</v>
      </c>
      <c r="B16" s="13" t="s">
        <v>130</v>
      </c>
      <c r="C16" s="10" t="s">
        <v>2097</v>
      </c>
      <c r="D16" s="116" t="s">
        <v>132</v>
      </c>
      <c r="E16" s="85"/>
      <c r="F16" s="10"/>
      <c r="G16" s="10"/>
      <c r="H16" s="10"/>
      <c r="I16" s="85"/>
      <c r="J16" s="85"/>
      <c r="K16" s="10" t="s">
        <v>2191</v>
      </c>
      <c r="L16" s="10" t="str">
        <f t="shared" si="0"/>
        <v>Name Lieferant/Autor</v>
      </c>
    </row>
    <row r="17" spans="1:12">
      <c r="A17" s="14" t="s">
        <v>251</v>
      </c>
      <c r="B17" s="12" t="s">
        <v>130</v>
      </c>
      <c r="C17" s="10" t="s">
        <v>2099</v>
      </c>
      <c r="D17" s="109" t="s">
        <v>132</v>
      </c>
      <c r="E17" s="85"/>
      <c r="F17" s="10"/>
      <c r="G17" s="10"/>
      <c r="H17" s="10"/>
      <c r="I17" s="85"/>
      <c r="J17" s="85"/>
      <c r="K17" s="10" t="s">
        <v>2192</v>
      </c>
      <c r="L17" s="10" t="str">
        <f t="shared" si="0"/>
        <v>Nummer Lieferant/Autor</v>
      </c>
    </row>
    <row r="18" spans="1:12" ht="55.2">
      <c r="A18" s="86" t="s">
        <v>260</v>
      </c>
      <c r="B18" s="13" t="s">
        <v>130</v>
      </c>
      <c r="C18" s="10" t="s">
        <v>261</v>
      </c>
      <c r="D18" s="116" t="s">
        <v>132</v>
      </c>
      <c r="E18" s="85"/>
      <c r="F18" s="10"/>
      <c r="G18" s="10"/>
      <c r="H18" s="10"/>
      <c r="I18" s="85"/>
      <c r="J18" s="85"/>
      <c r="K18" s="10" t="s">
        <v>2193</v>
      </c>
      <c r="L18" s="10" t="str">
        <f t="shared" si="0"/>
        <v>Bitte leer lassen, falls die Information nicht bekannt ist. (Die Information unterstützt die Buchhaltung bei der Aktualisierung der Lieferanten-/Autorenstammdaten.)</v>
      </c>
    </row>
    <row r="19" spans="1:12">
      <c r="A19" s="14" t="s">
        <v>269</v>
      </c>
      <c r="B19" s="12" t="s">
        <v>130</v>
      </c>
      <c r="C19" s="10" t="s">
        <v>270</v>
      </c>
      <c r="D19" s="109" t="s">
        <v>132</v>
      </c>
      <c r="E19" s="85"/>
      <c r="F19" s="10"/>
      <c r="G19" s="10"/>
      <c r="H19" s="10"/>
      <c r="I19" s="85"/>
      <c r="J19" s="85"/>
      <c r="K19" s="10" t="s">
        <v>277</v>
      </c>
      <c r="L19" s="10" t="str">
        <f t="shared" si="0"/>
        <v>Was muss geändert werden:</v>
      </c>
    </row>
    <row r="20" spans="1:12">
      <c r="A20" s="14" t="s">
        <v>269</v>
      </c>
      <c r="B20" s="12" t="s">
        <v>130</v>
      </c>
      <c r="C20" s="10" t="s">
        <v>278</v>
      </c>
      <c r="E20" s="85"/>
      <c r="F20" s="10"/>
      <c r="G20" s="10"/>
      <c r="H20" s="10"/>
      <c r="I20" s="85"/>
      <c r="J20" s="85"/>
      <c r="K20" s="10" t="s">
        <v>2194</v>
      </c>
      <c r="L20" s="10" t="str">
        <f t="shared" si="0"/>
        <v>Was muss geändert werden (sonstiges):</v>
      </c>
    </row>
    <row r="21" spans="1:12">
      <c r="A21" s="14" t="s">
        <v>286</v>
      </c>
      <c r="B21" s="13" t="s">
        <v>130</v>
      </c>
      <c r="C21" s="10" t="s">
        <v>287</v>
      </c>
      <c r="D21" s="116" t="s">
        <v>132</v>
      </c>
      <c r="E21" s="85"/>
      <c r="F21" s="10"/>
      <c r="G21" s="10"/>
      <c r="H21" s="10"/>
      <c r="I21" s="85"/>
      <c r="J21" s="85"/>
      <c r="K21" s="10" t="s">
        <v>294</v>
      </c>
      <c r="L21" s="10" t="str">
        <f t="shared" si="0"/>
        <v>Lieferantentyp</v>
      </c>
    </row>
    <row r="22" spans="1:12" hidden="1">
      <c r="A22" s="14" t="s">
        <v>295</v>
      </c>
      <c r="B22" s="13" t="s">
        <v>130</v>
      </c>
      <c r="C22" s="10" t="s">
        <v>296</v>
      </c>
      <c r="D22" s="116" t="s">
        <v>132</v>
      </c>
      <c r="E22" s="85"/>
      <c r="F22" s="10"/>
      <c r="G22" s="10"/>
      <c r="H22" s="10"/>
      <c r="I22" s="85"/>
      <c r="J22" s="85"/>
      <c r="K22" s="10"/>
      <c r="L22" s="10">
        <f t="shared" si="0"/>
        <v>0</v>
      </c>
    </row>
    <row r="23" spans="1:12" hidden="1">
      <c r="A23" s="14" t="s">
        <v>304</v>
      </c>
      <c r="B23" s="13" t="s">
        <v>130</v>
      </c>
      <c r="C23" s="10" t="s">
        <v>305</v>
      </c>
      <c r="D23" s="116" t="s">
        <v>132</v>
      </c>
      <c r="E23" s="85"/>
      <c r="F23" s="10"/>
      <c r="G23" s="10"/>
      <c r="H23" s="10"/>
      <c r="I23" s="85"/>
      <c r="J23" s="85"/>
      <c r="K23" s="10"/>
      <c r="L23" s="10">
        <f t="shared" si="0"/>
        <v>0</v>
      </c>
    </row>
    <row r="24" spans="1:12" hidden="1">
      <c r="A24" s="14" t="s">
        <v>306</v>
      </c>
      <c r="B24" s="12" t="s">
        <v>130</v>
      </c>
      <c r="C24" s="10" t="s">
        <v>307</v>
      </c>
      <c r="D24" s="109" t="s">
        <v>132</v>
      </c>
      <c r="E24" s="85"/>
      <c r="F24" s="10"/>
      <c r="G24" s="10"/>
      <c r="H24" s="10"/>
      <c r="I24" s="85"/>
      <c r="J24" s="85"/>
      <c r="K24" s="10"/>
      <c r="L24" s="10">
        <f t="shared" si="0"/>
        <v>0</v>
      </c>
    </row>
    <row r="25" spans="1:12">
      <c r="A25" s="14" t="s">
        <v>33</v>
      </c>
      <c r="B25" s="13" t="s">
        <v>130</v>
      </c>
      <c r="C25" s="10" t="s">
        <v>315</v>
      </c>
      <c r="D25" s="116" t="s">
        <v>132</v>
      </c>
      <c r="E25" s="85"/>
      <c r="F25" s="10"/>
      <c r="G25" s="10"/>
      <c r="H25" s="10"/>
      <c r="I25" s="85"/>
      <c r="J25" s="85"/>
      <c r="K25" s="10" t="s">
        <v>2195</v>
      </c>
      <c r="L25" s="10" t="str">
        <f t="shared" si="0"/>
        <v>Name Bearbeiter</v>
      </c>
    </row>
    <row r="26" spans="1:12">
      <c r="A26" s="14" t="s">
        <v>323</v>
      </c>
      <c r="B26" s="12" t="s">
        <v>130</v>
      </c>
      <c r="C26" s="10" t="s">
        <v>324</v>
      </c>
      <c r="D26" s="109" t="s">
        <v>132</v>
      </c>
      <c r="E26" s="85"/>
      <c r="F26" s="10"/>
      <c r="G26" s="10"/>
      <c r="H26" s="10"/>
      <c r="I26" s="85"/>
      <c r="J26" s="85"/>
      <c r="K26" s="10" t="s">
        <v>2196</v>
      </c>
      <c r="L26" s="10" t="str">
        <f t="shared" si="0"/>
        <v>E-Mail-Adresse Bearbeiter</v>
      </c>
    </row>
    <row r="27" spans="1:12">
      <c r="A27" s="14" t="s">
        <v>332</v>
      </c>
      <c r="B27" s="12" t="s">
        <v>130</v>
      </c>
      <c r="C27" s="10" t="s">
        <v>333</v>
      </c>
      <c r="D27" s="109" t="s">
        <v>132</v>
      </c>
      <c r="E27" s="85"/>
      <c r="F27" s="10"/>
      <c r="G27" s="10"/>
      <c r="H27" s="10"/>
      <c r="I27" s="85"/>
      <c r="J27" s="85"/>
      <c r="K27" s="10" t="s">
        <v>340</v>
      </c>
      <c r="L27" s="10" t="str">
        <f t="shared" si="0"/>
        <v>Geschäftsbereich</v>
      </c>
    </row>
    <row r="28" spans="1:12">
      <c r="A28" s="14" t="s">
        <v>341</v>
      </c>
      <c r="B28" s="13" t="s">
        <v>130</v>
      </c>
      <c r="C28" s="10" t="s">
        <v>342</v>
      </c>
      <c r="D28" s="116" t="s">
        <v>132</v>
      </c>
      <c r="E28" s="85"/>
      <c r="F28" s="10"/>
      <c r="G28" s="10"/>
      <c r="H28" s="10"/>
      <c r="I28" s="85"/>
      <c r="J28" s="85"/>
      <c r="K28" s="10" t="s">
        <v>349</v>
      </c>
      <c r="L28" s="10" t="str">
        <f t="shared" si="0"/>
        <v>Geschäftsregion</v>
      </c>
    </row>
    <row r="29" spans="1:12">
      <c r="A29" s="14" t="s">
        <v>350</v>
      </c>
      <c r="B29" s="12" t="s">
        <v>130</v>
      </c>
      <c r="C29" s="10" t="s">
        <v>351</v>
      </c>
      <c r="D29" s="109" t="s">
        <v>132</v>
      </c>
      <c r="E29" s="85"/>
      <c r="F29" s="10"/>
      <c r="G29" s="10"/>
      <c r="H29" s="10"/>
      <c r="I29" s="85"/>
      <c r="J29" s="85"/>
      <c r="K29" s="10" t="s">
        <v>358</v>
      </c>
      <c r="L29" s="10" t="str">
        <f t="shared" si="0"/>
        <v>Zahlungsmethode</v>
      </c>
    </row>
    <row r="30" spans="1:12" ht="69">
      <c r="A30" s="14" t="s">
        <v>359</v>
      </c>
      <c r="B30" s="13" t="s">
        <v>130</v>
      </c>
      <c r="C30" s="10" t="s">
        <v>360</v>
      </c>
      <c r="D30" s="116" t="s">
        <v>132</v>
      </c>
      <c r="E30" s="85"/>
      <c r="F30" s="10"/>
      <c r="G30" s="10"/>
      <c r="H30" s="89"/>
      <c r="I30" s="85"/>
      <c r="J30" s="85"/>
      <c r="K30" s="10" t="s">
        <v>2197</v>
      </c>
      <c r="L30" s="10" t="str">
        <f t="shared" si="0"/>
        <v>Standardmäßig erfolgt die Zahlung durch Überweisung.  Für Ausnahmen senden Sie eine E-Mail an ap.globalvendormaintenance@lexisnexis.com, um vorab eine Genehmigung zu erhalten.</v>
      </c>
    </row>
    <row r="31" spans="1:12" ht="41.4" hidden="1">
      <c r="A31" s="14" t="s">
        <v>368</v>
      </c>
      <c r="B31" s="13" t="s">
        <v>130</v>
      </c>
      <c r="C31" s="10" t="s">
        <v>2198</v>
      </c>
      <c r="D31" s="116" t="s">
        <v>132</v>
      </c>
      <c r="E31" s="85"/>
      <c r="F31" s="10"/>
      <c r="G31" s="10"/>
      <c r="H31" s="89"/>
      <c r="I31" s="85"/>
      <c r="J31" s="85"/>
      <c r="K31" s="10"/>
      <c r="L31" s="10">
        <f t="shared" si="0"/>
        <v>0</v>
      </c>
    </row>
    <row r="32" spans="1:12">
      <c r="A32" s="14" t="s">
        <v>377</v>
      </c>
      <c r="B32" s="13" t="s">
        <v>130</v>
      </c>
      <c r="C32" s="10" t="s">
        <v>378</v>
      </c>
      <c r="D32" s="116" t="s">
        <v>132</v>
      </c>
      <c r="E32" s="85"/>
      <c r="F32" s="10"/>
      <c r="G32" s="10"/>
      <c r="H32" s="89"/>
      <c r="I32" s="85"/>
      <c r="J32" s="85"/>
      <c r="K32" s="10" t="s">
        <v>385</v>
      </c>
      <c r="L32" s="10" t="str">
        <f t="shared" si="0"/>
        <v>Zahlungsbedingungen</v>
      </c>
    </row>
    <row r="33" spans="1:12" ht="55.2">
      <c r="A33" s="14" t="s">
        <v>386</v>
      </c>
      <c r="B33" s="12" t="s">
        <v>130</v>
      </c>
      <c r="C33" s="10" t="s">
        <v>387</v>
      </c>
      <c r="D33" s="109" t="s">
        <v>132</v>
      </c>
      <c r="E33" s="85"/>
      <c r="F33" s="10"/>
      <c r="G33" s="10"/>
      <c r="H33" s="89"/>
      <c r="I33" s="85"/>
      <c r="J33" s="85"/>
      <c r="K33" s="10" t="s">
        <v>2199</v>
      </c>
      <c r="L33" s="10" t="str">
        <f t="shared" si="0"/>
        <v>Die Standard-Zahlungsbedingungen von RELX sehen eine Zahlung ohne Abzug innerhalb von 45 Tagen nach Rechnungsdatum vor. (Gilt nicht für Autoren)</v>
      </c>
    </row>
    <row r="34" spans="1:12" ht="55.2">
      <c r="A34" s="14" t="s">
        <v>395</v>
      </c>
      <c r="B34" s="13" t="s">
        <v>130</v>
      </c>
      <c r="C34" s="10" t="s">
        <v>396</v>
      </c>
      <c r="D34" s="109" t="s">
        <v>132</v>
      </c>
      <c r="E34" s="85"/>
      <c r="F34" s="10"/>
      <c r="G34" s="10"/>
      <c r="H34" s="89"/>
      <c r="I34" s="85"/>
      <c r="J34" s="85"/>
      <c r="K34" s="10" t="s">
        <v>2200</v>
      </c>
      <c r="L34" s="10" t="str">
        <f t="shared" si="0"/>
        <v>Bitte geben Sie die vereinbarten Zahlungsbedingungen schriftlich an. Ein Mitarbeiter der Buchhaltung wird sich zur Überprüfung mit Ihnen in Verbindung setzen.</v>
      </c>
    </row>
    <row r="35" spans="1:12">
      <c r="A35" s="14" t="s">
        <v>404</v>
      </c>
      <c r="B35" s="13" t="s">
        <v>130</v>
      </c>
      <c r="C35" s="10" t="s">
        <v>405</v>
      </c>
      <c r="D35" s="116" t="s">
        <v>132</v>
      </c>
      <c r="E35" s="85"/>
      <c r="F35" s="10"/>
      <c r="G35" s="10"/>
      <c r="H35" s="10"/>
      <c r="I35" s="85"/>
      <c r="J35" s="85"/>
      <c r="K35" s="10" t="s">
        <v>2201</v>
      </c>
      <c r="L35" s="10" t="str">
        <f t="shared" si="0"/>
        <v>Grund für die Neuanlage eines Lieferanten/Autors</v>
      </c>
    </row>
    <row r="36" spans="1:12" ht="27.6">
      <c r="A36" s="14" t="s">
        <v>413</v>
      </c>
      <c r="B36" s="12" t="s">
        <v>130</v>
      </c>
      <c r="C36" s="10" t="s">
        <v>2108</v>
      </c>
      <c r="D36" s="109" t="s">
        <v>132</v>
      </c>
      <c r="E36" s="85"/>
      <c r="F36" s="10"/>
      <c r="G36" s="10"/>
      <c r="H36" s="89"/>
      <c r="I36" s="85"/>
      <c r="J36" s="85"/>
      <c r="K36" s="10"/>
      <c r="L36" s="10">
        <f t="shared" si="0"/>
        <v>0</v>
      </c>
    </row>
    <row r="37" spans="1:12" ht="41.4">
      <c r="A37" s="86" t="s">
        <v>422</v>
      </c>
      <c r="B37" s="12" t="s">
        <v>130</v>
      </c>
      <c r="C37" s="10" t="s">
        <v>423</v>
      </c>
      <c r="D37" s="109" t="s">
        <v>132</v>
      </c>
      <c r="E37" s="85"/>
      <c r="F37" s="10"/>
      <c r="G37" s="10"/>
      <c r="H37" s="89"/>
      <c r="I37" s="85"/>
      <c r="J37" s="85"/>
      <c r="K37" s="10" t="s">
        <v>2202</v>
      </c>
      <c r="L37" s="10" t="str">
        <f t="shared" si="0"/>
        <v>Wenn ein Beschaffungsvertrag-/Rahmenvertrag besteht, stellen Sie bitte sicher, dass eine Kopie an contracts@relx.com gesendet wird.</v>
      </c>
    </row>
    <row r="38" spans="1:12" ht="27.6">
      <c r="A38" s="14" t="s">
        <v>431</v>
      </c>
      <c r="B38" s="12" t="s">
        <v>130</v>
      </c>
      <c r="C38" s="10" t="s">
        <v>432</v>
      </c>
      <c r="D38" s="109" t="s">
        <v>132</v>
      </c>
      <c r="E38" s="85"/>
      <c r="F38" s="10"/>
      <c r="G38" s="10"/>
      <c r="H38" s="10"/>
      <c r="I38" s="85"/>
      <c r="J38" s="85"/>
      <c r="K38" s="10" t="s">
        <v>2203</v>
      </c>
      <c r="L38" s="10" t="str">
        <f t="shared" si="0"/>
        <v>Ist ein Bestellauftrag erforderlich? (Haben Sie dies mit der Beschaffungsabteilung abgestimmt)?</v>
      </c>
    </row>
    <row r="39" spans="1:12" ht="110.4">
      <c r="A39" s="14" t="s">
        <v>449</v>
      </c>
      <c r="B39" s="12" t="s">
        <v>130</v>
      </c>
      <c r="C39" s="10" t="s">
        <v>450</v>
      </c>
      <c r="D39" s="109" t="s">
        <v>132</v>
      </c>
      <c r="E39" s="85"/>
      <c r="F39" s="10"/>
      <c r="G39" s="10"/>
      <c r="H39" s="89"/>
      <c r="I39" s="85"/>
      <c r="J39" s="85"/>
      <c r="K39" s="10" t="s">
        <v>2204</v>
      </c>
      <c r="L39" s="10" t="str">
        <f t="shared" si="0"/>
        <v>Haben oder hatten Sie, ein Mitglied Ihrer Familie, ein Mitarbeiter von RELX oder ein Familienangehöriger eines RELX-Mitarbeiters jemals ein wirtschaftliches Abhängigkeitsverhältnis mit dem Lieferanten/Autor (z.B. aufgrund einer Beschäftigung, einer Beratertätigkeit, einer finanziellen Verpflichtung oder Eigentums- oder Beteiligungsverhältnissen)?</v>
      </c>
    </row>
    <row r="40" spans="1:12">
      <c r="A40" s="14" t="s">
        <v>458</v>
      </c>
      <c r="B40" s="13" t="s">
        <v>130</v>
      </c>
      <c r="C40" s="10" t="s">
        <v>459</v>
      </c>
      <c r="D40" s="116" t="s">
        <v>132</v>
      </c>
      <c r="E40" s="85"/>
      <c r="F40" s="10"/>
      <c r="G40" s="10"/>
      <c r="H40" s="10"/>
      <c r="I40" s="85"/>
      <c r="J40" s="85"/>
      <c r="K40" s="10" t="s">
        <v>2205</v>
      </c>
      <c r="L40" s="10" t="str">
        <f t="shared" si="0"/>
        <v>Bitte führen Sie dies näher aus.</v>
      </c>
    </row>
    <row r="41" spans="1:12" ht="151.80000000000001">
      <c r="A41" s="14" t="s">
        <v>467</v>
      </c>
      <c r="B41" s="12" t="s">
        <v>130</v>
      </c>
      <c r="C41" s="10" t="s">
        <v>468</v>
      </c>
      <c r="D41" s="109" t="s">
        <v>132</v>
      </c>
      <c r="E41" s="85"/>
      <c r="F41" s="10"/>
      <c r="G41" s="10"/>
      <c r="H41" s="89"/>
      <c r="I41" s="85"/>
      <c r="J41" s="85"/>
      <c r="K41" s="10" t="s">
        <v>2206</v>
      </c>
      <c r="L41" s="10" t="str">
        <f t="shared" si="0"/>
        <v>Mit der Einreichung dieses Formulars bestätige ich, dass alle darin enthaltenen Angaben zutreffend sind. Mir ist bewusst, dass jede unrichtige Angabe disziplinarische Maßnahmen nach sich ziehen kann. Darüber hinaus verpflichte ich mich, die Abteilung „Global Accounts Payable” unverzüglich zu informieren, sobald ich Kenntnis von zusätzlichen Informationen erlange, durch die die Angaben in diesem Formular unzutreffend werden, damit diese entsprechend aktualisiert werden können.</v>
      </c>
    </row>
    <row r="42" spans="1:12">
      <c r="A42" s="14" t="s">
        <v>476</v>
      </c>
      <c r="B42" s="13" t="s">
        <v>130</v>
      </c>
      <c r="C42" s="10" t="s">
        <v>477</v>
      </c>
      <c r="D42" s="116" t="s">
        <v>132</v>
      </c>
      <c r="E42" s="85"/>
      <c r="F42" s="10"/>
      <c r="G42" s="10"/>
      <c r="H42" s="10"/>
      <c r="I42" s="85"/>
      <c r="J42" s="85"/>
      <c r="K42" s="10" t="s">
        <v>2207</v>
      </c>
      <c r="L42" s="10" t="str">
        <f t="shared" si="0"/>
        <v>Nur für den internen Gebrauch der Buchhaltung</v>
      </c>
    </row>
    <row r="43" spans="1:12" ht="27.6">
      <c r="A43" s="14" t="s">
        <v>485</v>
      </c>
      <c r="B43" s="12" t="s">
        <v>130</v>
      </c>
      <c r="C43" s="10" t="s">
        <v>486</v>
      </c>
      <c r="D43" s="109" t="s">
        <v>132</v>
      </c>
      <c r="E43" s="85"/>
      <c r="F43" s="10"/>
      <c r="G43" s="10"/>
      <c r="H43" s="10"/>
      <c r="I43" s="85"/>
      <c r="J43" s="85"/>
      <c r="K43" s="10" t="s">
        <v>2208</v>
      </c>
      <c r="L43" s="10" t="str">
        <f t="shared" si="0"/>
        <v>KREDITORENINFORMATION (vom Lieferanten/Autor auszufüllen)</v>
      </c>
    </row>
    <row r="44" spans="1:12" hidden="1">
      <c r="A44" s="14" t="s">
        <v>494</v>
      </c>
      <c r="B44" s="12" t="s">
        <v>130</v>
      </c>
      <c r="C44" s="10" t="s">
        <v>495</v>
      </c>
      <c r="D44" s="109" t="s">
        <v>132</v>
      </c>
      <c r="E44" s="85"/>
      <c r="F44" s="10"/>
      <c r="G44" s="10"/>
      <c r="H44" s="10"/>
      <c r="I44" s="85"/>
      <c r="J44" s="85"/>
      <c r="K44" s="10"/>
      <c r="L44" s="10">
        <f t="shared" si="0"/>
        <v>0</v>
      </c>
    </row>
    <row r="45" spans="1:12" ht="27.6" hidden="1">
      <c r="A45" s="14" t="s">
        <v>503</v>
      </c>
      <c r="B45" s="12" t="s">
        <v>130</v>
      </c>
      <c r="C45" s="10" t="s">
        <v>504</v>
      </c>
      <c r="D45" s="109" t="s">
        <v>132</v>
      </c>
      <c r="E45" s="85"/>
      <c r="F45" s="10"/>
      <c r="G45" s="10"/>
      <c r="H45" s="10"/>
      <c r="I45" s="85"/>
      <c r="J45" s="85"/>
      <c r="K45" s="10"/>
      <c r="L45" s="10">
        <f t="shared" si="0"/>
        <v>0</v>
      </c>
    </row>
    <row r="46" spans="1:12" hidden="1">
      <c r="A46" s="14" t="s">
        <v>512</v>
      </c>
      <c r="B46" s="13" t="s">
        <v>130</v>
      </c>
      <c r="C46" s="10" t="s">
        <v>513</v>
      </c>
      <c r="D46" s="116" t="s">
        <v>132</v>
      </c>
      <c r="E46" s="85"/>
      <c r="F46" s="10"/>
      <c r="G46" s="10"/>
      <c r="H46" s="10"/>
      <c r="I46" s="85"/>
      <c r="J46" s="85"/>
      <c r="K46" s="10"/>
      <c r="L46" s="10">
        <f t="shared" si="0"/>
        <v>0</v>
      </c>
    </row>
    <row r="47" spans="1:12" ht="27.6" hidden="1">
      <c r="A47" s="14" t="s">
        <v>521</v>
      </c>
      <c r="B47" s="12" t="s">
        <v>130</v>
      </c>
      <c r="C47" s="10" t="s">
        <v>522</v>
      </c>
      <c r="D47" s="109" t="s">
        <v>132</v>
      </c>
      <c r="E47" s="85"/>
      <c r="F47" s="10"/>
      <c r="G47" s="10"/>
      <c r="H47" s="10"/>
      <c r="I47" s="85"/>
      <c r="J47" s="85"/>
      <c r="K47" s="10"/>
      <c r="L47" s="10">
        <f t="shared" si="0"/>
        <v>0</v>
      </c>
    </row>
    <row r="48" spans="1:12" hidden="1">
      <c r="A48" s="14" t="s">
        <v>530</v>
      </c>
      <c r="B48" s="13" t="s">
        <v>130</v>
      </c>
      <c r="C48" s="10" t="s">
        <v>531</v>
      </c>
      <c r="D48" s="116" t="s">
        <v>132</v>
      </c>
      <c r="E48" s="10"/>
      <c r="F48" s="10"/>
      <c r="G48" s="10"/>
      <c r="H48" s="10"/>
      <c r="I48" s="85"/>
      <c r="J48" s="85"/>
      <c r="K48" s="10"/>
      <c r="L48" s="10">
        <f t="shared" si="0"/>
        <v>0</v>
      </c>
    </row>
    <row r="49" spans="1:12">
      <c r="A49" s="14" t="s">
        <v>539</v>
      </c>
      <c r="B49" s="12" t="s">
        <v>130</v>
      </c>
      <c r="C49" s="10" t="s">
        <v>540</v>
      </c>
      <c r="D49" s="109" t="s">
        <v>132</v>
      </c>
      <c r="E49" s="10"/>
      <c r="F49" s="10"/>
      <c r="G49" s="10"/>
      <c r="H49" s="10"/>
      <c r="I49" s="10"/>
      <c r="J49" s="10"/>
      <c r="K49" s="10" t="s">
        <v>2209</v>
      </c>
      <c r="L49" s="10" t="str">
        <f t="shared" si="0"/>
        <v>Lieferanten-/Firmen-/Personenname</v>
      </c>
    </row>
    <row r="50" spans="1:12">
      <c r="A50" s="14" t="s">
        <v>548</v>
      </c>
      <c r="B50" s="13" t="s">
        <v>130</v>
      </c>
      <c r="C50" s="10" t="s">
        <v>549</v>
      </c>
      <c r="D50" s="116" t="s">
        <v>132</v>
      </c>
      <c r="E50" s="10"/>
      <c r="F50" s="10"/>
      <c r="G50" s="10"/>
      <c r="H50" s="10"/>
      <c r="I50" s="10"/>
      <c r="J50" s="10"/>
      <c r="K50" s="10" t="s">
        <v>556</v>
      </c>
      <c r="L50" s="10" t="str">
        <f t="shared" si="0"/>
        <v>Land</v>
      </c>
    </row>
    <row r="51" spans="1:12">
      <c r="A51" s="14" t="s">
        <v>557</v>
      </c>
      <c r="B51" s="12" t="s">
        <v>130</v>
      </c>
      <c r="C51" s="10" t="s">
        <v>558</v>
      </c>
      <c r="D51" s="109" t="s">
        <v>132</v>
      </c>
      <c r="E51" s="10"/>
      <c r="F51" s="10"/>
      <c r="G51" s="10"/>
      <c r="H51" s="10"/>
      <c r="I51" s="10"/>
      <c r="J51" s="10"/>
      <c r="K51" s="10" t="s">
        <v>565</v>
      </c>
      <c r="L51" s="10" t="str">
        <f t="shared" si="0"/>
        <v>Land der Steueransässigkeit</v>
      </c>
    </row>
    <row r="52" spans="1:12">
      <c r="A52" s="14" t="s">
        <v>566</v>
      </c>
      <c r="B52" s="13" t="s">
        <v>130</v>
      </c>
      <c r="C52" s="10" t="s">
        <v>567</v>
      </c>
      <c r="D52" s="116" t="s">
        <v>132</v>
      </c>
      <c r="E52" s="10"/>
      <c r="F52" s="10"/>
      <c r="G52" s="10"/>
      <c r="H52" s="10"/>
      <c r="I52" s="10"/>
      <c r="J52" s="10"/>
      <c r="K52" s="10" t="s">
        <v>2210</v>
      </c>
      <c r="L52" s="10" t="str">
        <f t="shared" si="0"/>
        <v>Adresse</v>
      </c>
    </row>
    <row r="53" spans="1:12">
      <c r="A53" s="14" t="s">
        <v>575</v>
      </c>
      <c r="B53" s="12" t="s">
        <v>130</v>
      </c>
      <c r="C53" s="10" t="s">
        <v>576</v>
      </c>
      <c r="D53" s="109" t="s">
        <v>132</v>
      </c>
      <c r="E53" s="10"/>
      <c r="F53" s="10"/>
      <c r="G53" s="10"/>
      <c r="H53" s="10"/>
      <c r="I53" s="10"/>
      <c r="J53" s="10"/>
      <c r="K53" s="10" t="s">
        <v>583</v>
      </c>
      <c r="L53" s="10" t="str">
        <f t="shared" si="0"/>
        <v>Adresszeile 2</v>
      </c>
    </row>
    <row r="54" spans="1:12">
      <c r="A54" s="14" t="s">
        <v>584</v>
      </c>
      <c r="B54" s="13" t="s">
        <v>130</v>
      </c>
      <c r="C54" s="10" t="s">
        <v>585</v>
      </c>
      <c r="D54" s="116" t="s">
        <v>132</v>
      </c>
      <c r="E54" s="10"/>
      <c r="F54" s="10"/>
      <c r="G54" s="10"/>
      <c r="H54" s="10"/>
      <c r="I54" s="10"/>
      <c r="J54" s="10"/>
      <c r="K54" s="10" t="s">
        <v>592</v>
      </c>
      <c r="L54" s="10" t="str">
        <f t="shared" si="0"/>
        <v>Adresszeile 3</v>
      </c>
    </row>
    <row r="55" spans="1:12">
      <c r="A55" s="14" t="s">
        <v>593</v>
      </c>
      <c r="B55" s="12" t="s">
        <v>130</v>
      </c>
      <c r="C55" s="10" t="s">
        <v>594</v>
      </c>
      <c r="D55" s="109" t="s">
        <v>132</v>
      </c>
      <c r="E55" s="10"/>
      <c r="F55" s="10"/>
      <c r="G55" s="10"/>
      <c r="H55" s="10"/>
      <c r="I55" s="10"/>
      <c r="J55" s="10"/>
      <c r="K55" s="10" t="s">
        <v>601</v>
      </c>
      <c r="L55" s="10" t="str">
        <f t="shared" si="0"/>
        <v>Adresszeile 4</v>
      </c>
    </row>
    <row r="56" spans="1:12">
      <c r="A56" s="14" t="s">
        <v>602</v>
      </c>
      <c r="B56" s="13" t="s">
        <v>130</v>
      </c>
      <c r="C56" s="10" t="s">
        <v>603</v>
      </c>
      <c r="D56" s="116" t="s">
        <v>132</v>
      </c>
      <c r="E56" s="10"/>
      <c r="F56" s="10"/>
      <c r="G56" s="10"/>
      <c r="H56" s="10"/>
      <c r="I56" s="10"/>
      <c r="J56" s="10"/>
      <c r="K56" s="10" t="s">
        <v>2211</v>
      </c>
      <c r="L56" s="10" t="str">
        <f t="shared" si="0"/>
        <v>Ort</v>
      </c>
    </row>
    <row r="57" spans="1:12">
      <c r="A57" s="14" t="s">
        <v>611</v>
      </c>
      <c r="B57" s="12" t="s">
        <v>130</v>
      </c>
      <c r="C57" s="10" t="s">
        <v>612</v>
      </c>
      <c r="D57" s="109" t="s">
        <v>132</v>
      </c>
      <c r="E57" s="10"/>
      <c r="F57" s="10"/>
      <c r="G57" s="10"/>
      <c r="H57" s="10"/>
      <c r="I57" s="10"/>
      <c r="J57" s="10"/>
      <c r="K57" s="10" t="s">
        <v>619</v>
      </c>
      <c r="L57" s="10" t="str">
        <f t="shared" si="0"/>
        <v>Postleitzahl</v>
      </c>
    </row>
    <row r="58" spans="1:12" ht="27.6">
      <c r="A58" s="14" t="s">
        <v>620</v>
      </c>
      <c r="B58" s="13" t="s">
        <v>130</v>
      </c>
      <c r="C58" s="10" t="s">
        <v>621</v>
      </c>
      <c r="D58" s="116" t="s">
        <v>132</v>
      </c>
      <c r="E58" s="10"/>
      <c r="F58" s="10"/>
      <c r="G58" s="10"/>
      <c r="H58" s="10"/>
      <c r="I58" s="10"/>
      <c r="J58" s="10"/>
      <c r="K58" s="10" t="s">
        <v>2212</v>
      </c>
      <c r="L58" s="10" t="str">
        <f t="shared" si="0"/>
        <v>Name der Kontaktperson (wenn abweichend von Lieferanten-/Firmen-/Personenname)</v>
      </c>
    </row>
    <row r="59" spans="1:12" ht="27.6">
      <c r="A59" s="14" t="s">
        <v>629</v>
      </c>
      <c r="B59" s="12" t="s">
        <v>130</v>
      </c>
      <c r="C59" s="10" t="s">
        <v>630</v>
      </c>
      <c r="D59" s="109" t="s">
        <v>132</v>
      </c>
      <c r="E59" s="10"/>
      <c r="F59" s="10"/>
      <c r="G59" s="10"/>
      <c r="H59" s="10"/>
      <c r="I59" s="10"/>
      <c r="J59" s="10"/>
      <c r="K59" s="10" t="s">
        <v>2213</v>
      </c>
      <c r="L59" s="10" t="str">
        <f t="shared" si="0"/>
        <v>Adresse für Bestellungen (wenn abweichend von oben)</v>
      </c>
    </row>
    <row r="60" spans="1:12">
      <c r="A60" s="14" t="s">
        <v>638</v>
      </c>
      <c r="B60" s="12" t="s">
        <v>130</v>
      </c>
      <c r="C60" s="10" t="s">
        <v>639</v>
      </c>
      <c r="D60" s="109" t="s">
        <v>132</v>
      </c>
      <c r="E60" s="10"/>
      <c r="F60" s="10"/>
      <c r="G60" s="10"/>
      <c r="H60" s="89"/>
      <c r="I60" s="10"/>
      <c r="J60" s="10"/>
      <c r="K60" s="10" t="s">
        <v>2214</v>
      </c>
      <c r="L60" s="10" t="str">
        <f t="shared" si="0"/>
        <v>E-Mail-Adresse für Bestellungen (Purchase Orders)</v>
      </c>
    </row>
    <row r="61" spans="1:12" ht="27.6">
      <c r="A61" s="14" t="s">
        <v>647</v>
      </c>
      <c r="B61" s="13" t="s">
        <v>130</v>
      </c>
      <c r="C61" s="10" t="s">
        <v>648</v>
      </c>
      <c r="D61" s="116" t="s">
        <v>132</v>
      </c>
      <c r="E61" s="10"/>
      <c r="F61" s="10"/>
      <c r="G61" s="10"/>
      <c r="H61" s="10"/>
      <c r="I61" s="10"/>
      <c r="J61" s="10"/>
      <c r="K61" s="10" t="s">
        <v>2215</v>
      </c>
      <c r="L61" s="10" t="str">
        <f t="shared" si="0"/>
        <v>E-Mail-Adresse für Zahlungsaviso</v>
      </c>
    </row>
    <row r="62" spans="1:12">
      <c r="A62" s="14" t="s">
        <v>656</v>
      </c>
      <c r="B62" s="12" t="s">
        <v>130</v>
      </c>
      <c r="C62" s="10" t="s">
        <v>657</v>
      </c>
      <c r="D62" s="109" t="s">
        <v>132</v>
      </c>
      <c r="E62" s="10"/>
      <c r="F62" s="10"/>
      <c r="G62" s="10"/>
      <c r="H62" s="10"/>
      <c r="I62" s="10"/>
      <c r="J62" s="10"/>
      <c r="K62" s="10" t="s">
        <v>664</v>
      </c>
      <c r="L62" s="10" t="str">
        <f t="shared" si="0"/>
        <v>Zusätzliche Kontakt-E-Mail (falls zutreffend)</v>
      </c>
    </row>
    <row r="63" spans="1:12">
      <c r="A63" s="14" t="s">
        <v>665</v>
      </c>
      <c r="B63" s="13" t="s">
        <v>130</v>
      </c>
      <c r="C63" s="10" t="s">
        <v>666</v>
      </c>
      <c r="D63" s="116" t="s">
        <v>132</v>
      </c>
      <c r="E63" s="10"/>
      <c r="F63" s="10"/>
      <c r="G63" s="10"/>
      <c r="H63" s="10"/>
      <c r="I63" s="10"/>
      <c r="J63" s="10"/>
      <c r="K63" s="10" t="s">
        <v>2216</v>
      </c>
      <c r="L63" s="10" t="str">
        <f t="shared" si="0"/>
        <v>Telefonnummer</v>
      </c>
    </row>
    <row r="64" spans="1:12">
      <c r="A64" s="14" t="s">
        <v>674</v>
      </c>
      <c r="B64" s="12" t="s">
        <v>130</v>
      </c>
      <c r="C64" s="10" t="s">
        <v>675</v>
      </c>
      <c r="D64" s="109" t="s">
        <v>132</v>
      </c>
      <c r="E64" s="10"/>
      <c r="F64" s="10"/>
      <c r="G64" s="10"/>
      <c r="H64" s="10"/>
      <c r="I64" s="10"/>
      <c r="J64" s="10"/>
      <c r="K64" s="10" t="s">
        <v>682</v>
      </c>
      <c r="L64" s="10" t="str">
        <f t="shared" si="0"/>
        <v>Faxnummer</v>
      </c>
    </row>
    <row r="65" spans="1:12" hidden="1">
      <c r="A65" s="14" t="s">
        <v>683</v>
      </c>
      <c r="B65" s="12" t="s">
        <v>130</v>
      </c>
      <c r="C65" s="10" t="s">
        <v>2217</v>
      </c>
      <c r="D65" s="109" t="s">
        <v>132</v>
      </c>
      <c r="E65" s="10"/>
      <c r="F65" s="10"/>
      <c r="G65" s="10"/>
      <c r="H65" s="10"/>
      <c r="I65" s="10"/>
      <c r="J65" s="10"/>
      <c r="K65" s="10"/>
      <c r="L65" s="10">
        <f t="shared" si="0"/>
        <v>0</v>
      </c>
    </row>
    <row r="66" spans="1:12" hidden="1">
      <c r="A66" s="14" t="s">
        <v>692</v>
      </c>
      <c r="B66" s="13" t="s">
        <v>130</v>
      </c>
      <c r="C66" s="10" t="s">
        <v>693</v>
      </c>
      <c r="D66" s="116" t="s">
        <v>132</v>
      </c>
      <c r="E66" s="10"/>
      <c r="F66" s="10"/>
      <c r="G66" s="10"/>
      <c r="H66" s="10"/>
      <c r="I66" s="10"/>
      <c r="J66" s="10"/>
      <c r="K66" s="10"/>
      <c r="L66" s="10">
        <f t="shared" si="0"/>
        <v>0</v>
      </c>
    </row>
    <row r="67" spans="1:12" hidden="1">
      <c r="A67" s="14" t="s">
        <v>701</v>
      </c>
      <c r="B67" s="12" t="s">
        <v>130</v>
      </c>
      <c r="C67" s="10" t="s">
        <v>702</v>
      </c>
      <c r="D67" s="109" t="s">
        <v>132</v>
      </c>
      <c r="E67" s="10"/>
      <c r="F67" s="10"/>
      <c r="G67" s="10"/>
      <c r="H67" s="10"/>
      <c r="I67" s="10"/>
      <c r="J67" s="10"/>
      <c r="K67" s="10"/>
      <c r="L67" s="10">
        <f t="shared" si="0"/>
        <v>0</v>
      </c>
    </row>
    <row r="68" spans="1:12">
      <c r="A68" s="94" t="s">
        <v>710</v>
      </c>
      <c r="B68" s="13" t="s">
        <v>130</v>
      </c>
      <c r="C68" s="10" t="s">
        <v>711</v>
      </c>
      <c r="D68" s="116" t="s">
        <v>132</v>
      </c>
      <c r="E68" s="10"/>
      <c r="F68" s="10"/>
      <c r="G68" s="10"/>
      <c r="H68" s="10"/>
      <c r="I68" s="10"/>
      <c r="J68" s="10"/>
      <c r="K68" s="10" t="s">
        <v>2218</v>
      </c>
      <c r="L68" s="10" t="str">
        <f t="shared" ref="L68:L131" si="1">IF($E$1=$C$2,C68,IF($E$1=$E$2,E68,IF($E$1=$F$2,F68,IF($E$1=$G$2,G68,IF($E$1=$H$2,H68,IF($E$1=$I$2,I68,IF($E$1=$J$2,J68,IF($E$1=$K$2,K68,C68))))))))</f>
        <v>Umsatzsteuersatz (%)</v>
      </c>
    </row>
    <row r="69" spans="1:12">
      <c r="A69" s="94" t="s">
        <v>713</v>
      </c>
      <c r="B69" s="12" t="s">
        <v>130</v>
      </c>
      <c r="C69" s="10" t="s">
        <v>714</v>
      </c>
      <c r="D69" s="109" t="s">
        <v>132</v>
      </c>
      <c r="E69" s="10"/>
      <c r="F69" s="10"/>
      <c r="G69" s="10"/>
      <c r="H69" s="10"/>
      <c r="I69" s="10"/>
      <c r="J69" s="10"/>
      <c r="K69" s="10" t="s">
        <v>2219</v>
      </c>
      <c r="L69" s="10" t="str">
        <f t="shared" si="1"/>
        <v>Umsatzsteuer-Identifikationsnummer (UID Nr.)</v>
      </c>
    </row>
    <row r="70" spans="1:12" hidden="1">
      <c r="A70" s="94" t="s">
        <v>716</v>
      </c>
      <c r="B70" s="13" t="s">
        <v>130</v>
      </c>
      <c r="C70" s="10" t="s">
        <v>717</v>
      </c>
      <c r="D70" s="116" t="s">
        <v>132</v>
      </c>
      <c r="E70" s="10"/>
      <c r="F70" s="10"/>
      <c r="G70" s="10"/>
      <c r="H70" s="10"/>
      <c r="I70" s="10"/>
      <c r="J70" s="10"/>
      <c r="K70" s="10"/>
      <c r="L70" s="10">
        <f t="shared" si="1"/>
        <v>0</v>
      </c>
    </row>
    <row r="71" spans="1:12" hidden="1">
      <c r="A71" s="94" t="s">
        <v>719</v>
      </c>
      <c r="B71" s="12" t="s">
        <v>130</v>
      </c>
      <c r="C71" s="10" t="s">
        <v>720</v>
      </c>
      <c r="D71" s="109" t="s">
        <v>132</v>
      </c>
      <c r="E71" s="10"/>
      <c r="F71" s="10"/>
      <c r="G71" s="10"/>
      <c r="H71" s="10"/>
      <c r="I71" s="10"/>
      <c r="J71" s="10"/>
      <c r="K71" s="10"/>
      <c r="L71" s="10">
        <f t="shared" si="1"/>
        <v>0</v>
      </c>
    </row>
    <row r="72" spans="1:12" hidden="1">
      <c r="A72" s="94" t="s">
        <v>722</v>
      </c>
      <c r="B72" s="13" t="s">
        <v>130</v>
      </c>
      <c r="C72" s="10" t="s">
        <v>723</v>
      </c>
      <c r="D72" s="116" t="s">
        <v>132</v>
      </c>
      <c r="E72" s="10"/>
      <c r="F72" s="10"/>
      <c r="G72" s="10"/>
      <c r="H72" s="10"/>
      <c r="I72" s="10"/>
      <c r="J72" s="10"/>
      <c r="K72" s="10"/>
      <c r="L72" s="10">
        <f t="shared" si="1"/>
        <v>0</v>
      </c>
    </row>
    <row r="73" spans="1:12" hidden="1">
      <c r="A73" s="94" t="s">
        <v>725</v>
      </c>
      <c r="B73" s="12" t="s">
        <v>130</v>
      </c>
      <c r="C73" s="10" t="s">
        <v>726</v>
      </c>
      <c r="D73" s="109" t="s">
        <v>132</v>
      </c>
      <c r="E73" s="10"/>
      <c r="F73" s="10"/>
      <c r="G73" s="10"/>
      <c r="H73" s="10"/>
      <c r="I73" s="10"/>
      <c r="J73" s="10"/>
      <c r="K73" s="10"/>
      <c r="L73" s="10">
        <f t="shared" si="1"/>
        <v>0</v>
      </c>
    </row>
    <row r="74" spans="1:12" hidden="1">
      <c r="A74" s="94" t="s">
        <v>728</v>
      </c>
      <c r="B74" s="13" t="s">
        <v>130</v>
      </c>
      <c r="C74" s="10" t="s">
        <v>729</v>
      </c>
      <c r="D74" s="116" t="s">
        <v>132</v>
      </c>
      <c r="E74" s="10"/>
      <c r="F74" s="10"/>
      <c r="G74" s="10"/>
      <c r="H74" s="10"/>
      <c r="I74" s="10"/>
      <c r="J74" s="10"/>
      <c r="K74" s="10"/>
      <c r="L74" s="10">
        <f t="shared" si="1"/>
        <v>0</v>
      </c>
    </row>
    <row r="75" spans="1:12" hidden="1">
      <c r="A75" s="94" t="s">
        <v>731</v>
      </c>
      <c r="B75" s="12" t="s">
        <v>130</v>
      </c>
      <c r="C75" s="10" t="s">
        <v>732</v>
      </c>
      <c r="D75" s="109" t="s">
        <v>132</v>
      </c>
      <c r="E75" s="10"/>
      <c r="F75" s="10"/>
      <c r="G75" s="10"/>
      <c r="H75" s="10"/>
      <c r="I75" s="10"/>
      <c r="J75" s="10"/>
      <c r="K75" s="10"/>
      <c r="L75" s="10">
        <f t="shared" si="1"/>
        <v>0</v>
      </c>
    </row>
    <row r="76" spans="1:12" hidden="1">
      <c r="A76" s="94" t="s">
        <v>734</v>
      </c>
      <c r="B76" s="13" t="s">
        <v>130</v>
      </c>
      <c r="C76" s="10" t="s">
        <v>735</v>
      </c>
      <c r="D76" s="116" t="s">
        <v>132</v>
      </c>
      <c r="E76" s="10"/>
      <c r="F76" s="10"/>
      <c r="G76" s="10"/>
      <c r="H76" s="10"/>
      <c r="I76" s="10"/>
      <c r="J76" s="10"/>
      <c r="K76" s="10"/>
      <c r="L76" s="10">
        <f t="shared" si="1"/>
        <v>0</v>
      </c>
    </row>
    <row r="77" spans="1:12" hidden="1">
      <c r="A77" s="94" t="s">
        <v>737</v>
      </c>
      <c r="B77" s="12" t="s">
        <v>130</v>
      </c>
      <c r="C77" s="10" t="s">
        <v>738</v>
      </c>
      <c r="D77" s="109" t="s">
        <v>132</v>
      </c>
      <c r="E77" s="10"/>
      <c r="F77" s="10"/>
      <c r="G77" s="10"/>
      <c r="H77" s="10"/>
      <c r="I77" s="10"/>
      <c r="J77" s="10"/>
      <c r="K77" s="10"/>
      <c r="L77" s="10">
        <f t="shared" si="1"/>
        <v>0</v>
      </c>
    </row>
    <row r="78" spans="1:12" ht="27.6" hidden="1">
      <c r="A78" s="94" t="s">
        <v>740</v>
      </c>
      <c r="B78" s="13" t="s">
        <v>130</v>
      </c>
      <c r="C78" s="10" t="s">
        <v>741</v>
      </c>
      <c r="D78" s="116" t="s">
        <v>132</v>
      </c>
      <c r="E78" s="10"/>
      <c r="F78" s="10"/>
      <c r="G78" s="10"/>
      <c r="H78" s="10"/>
      <c r="I78" s="10"/>
      <c r="J78" s="10"/>
      <c r="K78" s="10"/>
      <c r="L78" s="10">
        <f t="shared" si="1"/>
        <v>0</v>
      </c>
    </row>
    <row r="79" spans="1:12" ht="27.6" hidden="1">
      <c r="A79" s="94" t="s">
        <v>743</v>
      </c>
      <c r="B79" s="12" t="s">
        <v>130</v>
      </c>
      <c r="C79" s="10" t="s">
        <v>744</v>
      </c>
      <c r="D79" s="109" t="s">
        <v>132</v>
      </c>
      <c r="E79" s="10"/>
      <c r="F79" s="10"/>
      <c r="G79" s="10"/>
      <c r="H79" s="10"/>
      <c r="I79" s="10"/>
      <c r="J79" s="10"/>
      <c r="K79" s="10"/>
      <c r="L79" s="10">
        <f t="shared" si="1"/>
        <v>0</v>
      </c>
    </row>
    <row r="80" spans="1:12" ht="27.6">
      <c r="A80" s="14" t="s">
        <v>746</v>
      </c>
      <c r="B80" s="13" t="s">
        <v>130</v>
      </c>
      <c r="C80" s="10" t="s">
        <v>747</v>
      </c>
      <c r="D80" s="116" t="s">
        <v>132</v>
      </c>
      <c r="E80" s="10"/>
      <c r="F80" s="10"/>
      <c r="G80" s="10"/>
      <c r="H80" s="10"/>
      <c r="I80" s="10"/>
      <c r="J80" s="10"/>
      <c r="K80" s="10" t="s">
        <v>2220</v>
      </c>
      <c r="L80" s="10" t="str">
        <f t="shared" si="1"/>
        <v>Die letzten 4 Ziffern des früheren Bankkontos (aus Sicherheitsgründen erforderlich)</v>
      </c>
    </row>
    <row r="81" spans="1:12">
      <c r="A81" s="14" t="s">
        <v>755</v>
      </c>
      <c r="B81" s="12" t="s">
        <v>130</v>
      </c>
      <c r="C81" s="10" t="s">
        <v>756</v>
      </c>
      <c r="D81" s="109" t="s">
        <v>132</v>
      </c>
      <c r="E81" s="10"/>
      <c r="F81" s="10"/>
      <c r="G81" s="10"/>
      <c r="H81" s="10"/>
      <c r="I81" s="10"/>
      <c r="J81" s="10"/>
      <c r="K81" s="10" t="s">
        <v>763</v>
      </c>
      <c r="L81" s="10" t="str">
        <f t="shared" si="1"/>
        <v>Rechnungswährung</v>
      </c>
    </row>
    <row r="82" spans="1:12">
      <c r="A82" s="14" t="s">
        <v>764</v>
      </c>
      <c r="B82" s="13" t="s">
        <v>130</v>
      </c>
      <c r="C82" s="10" t="s">
        <v>765</v>
      </c>
      <c r="D82" s="116" t="s">
        <v>132</v>
      </c>
      <c r="E82" s="10"/>
      <c r="F82" s="10"/>
      <c r="G82" s="10"/>
      <c r="H82" s="10"/>
      <c r="I82" s="10"/>
      <c r="J82" s="10"/>
      <c r="K82" s="10" t="s">
        <v>2221</v>
      </c>
      <c r="L82" s="10" t="str">
        <f t="shared" si="1"/>
        <v>Sonstige Währung</v>
      </c>
    </row>
    <row r="83" spans="1:12" hidden="1">
      <c r="A83" s="14" t="s">
        <v>773</v>
      </c>
      <c r="B83" s="12" t="s">
        <v>130</v>
      </c>
      <c r="C83" s="10" t="s">
        <v>774</v>
      </c>
      <c r="D83" s="109" t="s">
        <v>132</v>
      </c>
      <c r="E83" s="10"/>
      <c r="F83" s="10"/>
      <c r="G83" s="10"/>
      <c r="H83" s="10"/>
      <c r="I83" s="10"/>
      <c r="J83" s="10"/>
      <c r="K83" s="10"/>
      <c r="L83" s="10">
        <f t="shared" si="1"/>
        <v>0</v>
      </c>
    </row>
    <row r="84" spans="1:12">
      <c r="A84" s="14" t="s">
        <v>782</v>
      </c>
      <c r="B84" s="13" t="s">
        <v>130</v>
      </c>
      <c r="C84" s="10" t="s">
        <v>783</v>
      </c>
      <c r="D84" s="116" t="s">
        <v>132</v>
      </c>
      <c r="E84" s="10"/>
      <c r="F84" s="10"/>
      <c r="G84" s="10"/>
      <c r="H84" s="10"/>
      <c r="I84" s="10"/>
      <c r="J84" s="10"/>
      <c r="K84" s="10" t="s">
        <v>790</v>
      </c>
      <c r="L84" s="10" t="str">
        <f t="shared" si="1"/>
        <v>Kontoinhaber</v>
      </c>
    </row>
    <row r="85" spans="1:12">
      <c r="A85" s="14" t="s">
        <v>791</v>
      </c>
      <c r="B85" s="13" t="s">
        <v>130</v>
      </c>
      <c r="C85" s="10" t="s">
        <v>791</v>
      </c>
      <c r="D85" s="116" t="s">
        <v>132</v>
      </c>
      <c r="E85" s="10"/>
      <c r="F85" s="10"/>
      <c r="G85" s="10"/>
      <c r="H85" s="10"/>
      <c r="I85" s="10"/>
      <c r="J85" s="10"/>
      <c r="K85" s="10" t="s">
        <v>2222</v>
      </c>
      <c r="L85" s="10" t="str">
        <f t="shared" si="1"/>
        <v>Name Bankinstitut</v>
      </c>
    </row>
    <row r="86" spans="1:12">
      <c r="A86" s="14" t="s">
        <v>799</v>
      </c>
      <c r="B86" s="12" t="s">
        <v>130</v>
      </c>
      <c r="C86" s="10" t="s">
        <v>799</v>
      </c>
      <c r="D86" s="109" t="s">
        <v>132</v>
      </c>
      <c r="E86" s="10"/>
      <c r="F86" s="10"/>
      <c r="G86" s="10"/>
      <c r="H86" s="10"/>
      <c r="I86" s="10"/>
      <c r="J86" s="10"/>
      <c r="K86" s="10" t="s">
        <v>2223</v>
      </c>
      <c r="L86" s="10" t="str">
        <f t="shared" si="1"/>
        <v>Zweigniederlassung</v>
      </c>
    </row>
    <row r="87" spans="1:12">
      <c r="A87" s="14" t="s">
        <v>807</v>
      </c>
      <c r="B87" s="13" t="s">
        <v>130</v>
      </c>
      <c r="C87" s="10" t="s">
        <v>807</v>
      </c>
      <c r="D87" s="116" t="s">
        <v>132</v>
      </c>
      <c r="E87" s="10"/>
      <c r="F87" s="10"/>
      <c r="G87" s="10"/>
      <c r="H87" s="10"/>
      <c r="I87" s="10"/>
      <c r="J87" s="10"/>
      <c r="K87" s="10" t="s">
        <v>2224</v>
      </c>
      <c r="L87" s="10" t="str">
        <f t="shared" si="1"/>
        <v>Sitz der Bank (Land)</v>
      </c>
    </row>
    <row r="88" spans="1:12">
      <c r="A88" s="14" t="s">
        <v>815</v>
      </c>
      <c r="B88" s="12" t="s">
        <v>130</v>
      </c>
      <c r="C88" s="10" t="s">
        <v>815</v>
      </c>
      <c r="D88" s="109" t="s">
        <v>132</v>
      </c>
      <c r="E88" s="10"/>
      <c r="F88" s="10"/>
      <c r="G88" s="10"/>
      <c r="H88" s="10"/>
      <c r="I88" s="10"/>
      <c r="J88" s="10"/>
      <c r="K88" s="10" t="s">
        <v>822</v>
      </c>
      <c r="L88" s="10" t="str">
        <f t="shared" si="1"/>
        <v>Kontonummer</v>
      </c>
    </row>
    <row r="89" spans="1:12">
      <c r="A89" s="14" t="s">
        <v>823</v>
      </c>
      <c r="B89" s="13" t="s">
        <v>130</v>
      </c>
      <c r="C89" s="10" t="s">
        <v>823</v>
      </c>
      <c r="D89" s="116" t="s">
        <v>132</v>
      </c>
      <c r="E89" s="10"/>
      <c r="F89" s="10"/>
      <c r="G89" s="10"/>
      <c r="H89" s="10"/>
      <c r="I89" s="10"/>
      <c r="J89" s="10"/>
      <c r="K89" s="10" t="s">
        <v>829</v>
      </c>
      <c r="L89" s="10" t="str">
        <f t="shared" si="1"/>
        <v>Bankleitzahl</v>
      </c>
    </row>
    <row r="90" spans="1:12">
      <c r="A90" s="14" t="s">
        <v>830</v>
      </c>
      <c r="B90" s="12" t="s">
        <v>130</v>
      </c>
      <c r="C90" s="10" t="s">
        <v>830</v>
      </c>
      <c r="D90" s="109" t="s">
        <v>132</v>
      </c>
      <c r="E90" s="10"/>
      <c r="F90" s="10"/>
      <c r="G90" s="10"/>
      <c r="H90" s="10"/>
      <c r="I90" s="10"/>
      <c r="J90" s="10"/>
      <c r="K90" s="10" t="s">
        <v>836</v>
      </c>
      <c r="L90" s="10" t="str">
        <f t="shared" si="1"/>
        <v>BLZ/Filialcode</v>
      </c>
    </row>
    <row r="91" spans="1:12" hidden="1">
      <c r="A91" s="14" t="s">
        <v>837</v>
      </c>
      <c r="B91" s="13" t="s">
        <v>130</v>
      </c>
      <c r="C91" s="10" t="s">
        <v>838</v>
      </c>
      <c r="D91" s="116" t="s">
        <v>132</v>
      </c>
      <c r="E91" s="10"/>
      <c r="F91" s="10"/>
      <c r="G91" s="10"/>
      <c r="H91" s="10"/>
      <c r="I91" s="10"/>
      <c r="J91" s="10"/>
      <c r="K91" s="10"/>
      <c r="L91" s="10">
        <f t="shared" si="1"/>
        <v>0</v>
      </c>
    </row>
    <row r="92" spans="1:12">
      <c r="A92" s="14" t="s">
        <v>839</v>
      </c>
      <c r="B92" s="12" t="s">
        <v>130</v>
      </c>
      <c r="C92" s="10" t="s">
        <v>839</v>
      </c>
      <c r="D92" s="109" t="s">
        <v>132</v>
      </c>
      <c r="E92" s="10"/>
      <c r="F92" s="10"/>
      <c r="G92" s="10"/>
      <c r="H92" s="10"/>
      <c r="I92" s="10"/>
      <c r="J92" s="10"/>
      <c r="K92" s="10" t="s">
        <v>845</v>
      </c>
      <c r="L92" s="10" t="str">
        <f t="shared" si="1"/>
        <v>IBAN-Nummer</v>
      </c>
    </row>
    <row r="93" spans="1:12">
      <c r="A93" s="14" t="s">
        <v>846</v>
      </c>
      <c r="B93" s="13" t="s">
        <v>130</v>
      </c>
      <c r="C93" s="10" t="s">
        <v>847</v>
      </c>
      <c r="D93" s="116" t="s">
        <v>132</v>
      </c>
      <c r="E93" s="10"/>
      <c r="F93" s="10"/>
      <c r="G93" s="10"/>
      <c r="H93" s="89"/>
      <c r="I93" s="10"/>
      <c r="J93" s="10"/>
      <c r="K93" s="10" t="s">
        <v>854</v>
      </c>
      <c r="L93" s="10" t="str">
        <f t="shared" si="1"/>
        <v>BIC / SWIFT-Code</v>
      </c>
    </row>
    <row r="94" spans="1:12" ht="27.6">
      <c r="A94" s="14" t="s">
        <v>855</v>
      </c>
      <c r="B94" s="13" t="s">
        <v>130</v>
      </c>
      <c r="C94" s="10" t="s">
        <v>856</v>
      </c>
      <c r="D94" s="116" t="s">
        <v>132</v>
      </c>
      <c r="E94" s="10"/>
      <c r="F94" s="10"/>
      <c r="G94" s="10"/>
      <c r="H94" s="89"/>
      <c r="I94" s="10"/>
      <c r="J94" s="10"/>
      <c r="K94" s="10" t="s">
        <v>863</v>
      </c>
      <c r="L94" s="10" t="str">
        <f t="shared" si="1"/>
        <v>Der SWIFT-Code ist nur für Auslandszahlungen erforderlich.</v>
      </c>
    </row>
    <row r="95" spans="1:12" hidden="1">
      <c r="A95" s="14" t="s">
        <v>864</v>
      </c>
      <c r="B95" s="12" t="s">
        <v>130</v>
      </c>
      <c r="C95" s="10" t="s">
        <v>865</v>
      </c>
      <c r="D95" s="109" t="s">
        <v>132</v>
      </c>
      <c r="E95" s="10"/>
      <c r="F95" s="10"/>
      <c r="G95" s="10"/>
      <c r="H95" s="10"/>
      <c r="I95" s="10"/>
      <c r="J95" s="10"/>
      <c r="K95" s="10"/>
      <c r="L95" s="10">
        <f t="shared" si="1"/>
        <v>0</v>
      </c>
    </row>
    <row r="96" spans="1:12">
      <c r="A96" s="14" t="s">
        <v>869</v>
      </c>
      <c r="B96" s="12" t="s">
        <v>130</v>
      </c>
      <c r="C96" s="10" t="s">
        <v>869</v>
      </c>
      <c r="D96" s="109" t="s">
        <v>132</v>
      </c>
      <c r="E96" s="10"/>
      <c r="F96" s="10"/>
      <c r="G96" s="10"/>
      <c r="H96" s="10"/>
      <c r="I96" s="10"/>
      <c r="J96" s="10"/>
      <c r="K96" s="10" t="s">
        <v>2225</v>
      </c>
      <c r="L96" s="10" t="str">
        <f t="shared" si="1"/>
        <v>EINREICHUNG FORMULAR</v>
      </c>
    </row>
    <row r="97" spans="1:12">
      <c r="A97" s="14" t="s">
        <v>877</v>
      </c>
      <c r="B97" s="13" t="s">
        <v>130</v>
      </c>
      <c r="C97" s="10" t="s">
        <v>878</v>
      </c>
      <c r="D97" s="116" t="s">
        <v>132</v>
      </c>
      <c r="E97" s="10"/>
      <c r="F97" s="10"/>
      <c r="G97" s="10"/>
      <c r="H97" s="10"/>
      <c r="I97" s="10"/>
      <c r="J97" s="10"/>
      <c r="K97" s="10" t="s">
        <v>2083</v>
      </c>
      <c r="L97" s="10" t="str">
        <f t="shared" si="1"/>
        <v>E-Mail-Adresse</v>
      </c>
    </row>
    <row r="98" spans="1:12">
      <c r="A98" s="14" t="s">
        <v>883</v>
      </c>
      <c r="B98" s="12" t="s">
        <v>130</v>
      </c>
      <c r="C98" s="10" t="s">
        <v>884</v>
      </c>
      <c r="D98" s="109" t="s">
        <v>132</v>
      </c>
      <c r="E98" s="10"/>
      <c r="F98" s="10"/>
      <c r="G98" s="10"/>
      <c r="H98" s="89"/>
      <c r="I98" s="10"/>
      <c r="J98" s="10"/>
      <c r="K98" s="10" t="s">
        <v>891</v>
      </c>
      <c r="L98" s="10" t="str">
        <f t="shared" si="1"/>
        <v>Sichere Faxnummer</v>
      </c>
    </row>
    <row r="99" spans="1:12" hidden="1">
      <c r="A99" s="14" t="s">
        <v>892</v>
      </c>
      <c r="B99" s="13" t="s">
        <v>130</v>
      </c>
      <c r="C99" s="10" t="s">
        <v>893</v>
      </c>
      <c r="D99" s="116" t="s">
        <v>132</v>
      </c>
      <c r="E99" s="10"/>
      <c r="F99" s="10"/>
      <c r="G99" s="10"/>
      <c r="H99" s="10"/>
      <c r="I99" s="10"/>
      <c r="J99" s="10"/>
      <c r="K99" s="10" t="s">
        <v>900</v>
      </c>
      <c r="L99" s="10" t="str">
        <f t="shared" si="1"/>
        <v>Postanschriften</v>
      </c>
    </row>
    <row r="100" spans="1:12" ht="115.2">
      <c r="A100" s="14" t="s">
        <v>901</v>
      </c>
      <c r="B100" s="12" t="s">
        <v>130</v>
      </c>
      <c r="C100" s="89" t="s">
        <v>902</v>
      </c>
      <c r="D100" s="109" t="s">
        <v>132</v>
      </c>
      <c r="E100" s="89"/>
      <c r="F100" s="89"/>
      <c r="G100" s="89"/>
      <c r="H100" s="89"/>
      <c r="I100" s="89"/>
      <c r="J100" s="89"/>
      <c r="K100" s="10" t="s">
        <v>2226</v>
      </c>
      <c r="L100" s="10" t="str">
        <f t="shared" si="1"/>
        <v xml:space="preserve">HIERMIT BESTÄTIGE ICH, DASS MEINE ANGABEN VOLLSTÄNDIG UND KORREKT SIND.* Der Lieferant/Autor nimmt zur Kenntnis, dass LexisNexis eine globale Lieferantenplattform unter Wahrung der Vertraulichkeit führt. Daher können die Angaben in diesem Formular für Zahlungen an den Lieferanten/Autor durch jedes Unternehmen der RELX-Gruppe verwendet werden. </v>
      </c>
    </row>
    <row r="101" spans="1:12">
      <c r="A101" s="14" t="s">
        <v>910</v>
      </c>
      <c r="B101" s="13" t="s">
        <v>130</v>
      </c>
      <c r="C101" s="89" t="s">
        <v>911</v>
      </c>
      <c r="D101" s="116" t="s">
        <v>132</v>
      </c>
      <c r="E101" s="8"/>
      <c r="F101" s="89"/>
      <c r="G101" s="89"/>
      <c r="H101" s="89"/>
      <c r="I101" s="8"/>
      <c r="J101" s="8"/>
      <c r="K101" s="10" t="s">
        <v>917</v>
      </c>
      <c r="L101" s="10" t="str">
        <f t="shared" si="1"/>
        <v>Datum</v>
      </c>
    </row>
    <row r="102" spans="1:12">
      <c r="A102" s="14" t="s">
        <v>918</v>
      </c>
      <c r="B102" s="12" t="s">
        <v>130</v>
      </c>
      <c r="C102" s="8" t="s">
        <v>919</v>
      </c>
      <c r="D102" s="109" t="s">
        <v>132</v>
      </c>
      <c r="E102" s="8"/>
      <c r="F102" s="8"/>
      <c r="G102" s="8"/>
      <c r="H102" s="8"/>
      <c r="I102" s="8"/>
      <c r="J102" s="8"/>
      <c r="K102" s="10" t="s">
        <v>919</v>
      </c>
      <c r="L102" s="10" t="str">
        <f t="shared" si="1"/>
        <v>Name</v>
      </c>
    </row>
    <row r="103" spans="1:12">
      <c r="A103" s="14" t="s">
        <v>926</v>
      </c>
      <c r="B103" s="13" t="s">
        <v>130</v>
      </c>
      <c r="C103" s="8" t="s">
        <v>927</v>
      </c>
      <c r="D103" s="116" t="s">
        <v>132</v>
      </c>
      <c r="E103" s="8"/>
      <c r="F103" s="112"/>
      <c r="G103" s="8"/>
      <c r="H103" s="8"/>
      <c r="I103" s="8"/>
      <c r="J103" s="8"/>
      <c r="K103" s="10" t="s">
        <v>2227</v>
      </c>
      <c r="L103" s="10" t="str">
        <f t="shared" si="1"/>
        <v>Jobtitel: (Für Autor nicht verpflichtend)</v>
      </c>
    </row>
    <row r="104" spans="1:12">
      <c r="A104" s="14" t="s">
        <v>935</v>
      </c>
      <c r="B104" s="12" t="s">
        <v>130</v>
      </c>
      <c r="C104" s="8" t="s">
        <v>936</v>
      </c>
      <c r="D104" s="109" t="s">
        <v>132</v>
      </c>
      <c r="E104" s="8"/>
      <c r="F104" s="112"/>
      <c r="G104" s="8"/>
      <c r="H104" s="8"/>
      <c r="I104" s="8"/>
      <c r="J104" s="8"/>
      <c r="K104" s="10" t="s">
        <v>942</v>
      </c>
      <c r="L104" s="10" t="str">
        <f t="shared" si="1"/>
        <v>Unterschrift</v>
      </c>
    </row>
    <row r="105" spans="1:12" s="89" customFormat="1" ht="86.4">
      <c r="A105" s="86" t="s">
        <v>943</v>
      </c>
      <c r="B105" s="117"/>
      <c r="C105" s="89" t="s">
        <v>944</v>
      </c>
      <c r="F105" s="206"/>
      <c r="K105" s="10" t="s">
        <v>2228</v>
      </c>
      <c r="L105" s="10" t="str">
        <f>IF($E$1=$C$2,"",IF($E$1=$E$2,E105,IF($E$1=$F$2,F105,IF($E$1=$G$2,G105,IF($E$1=$H$2,H105,IF($E$1=$I$2,I105,IF($E$1=$J$2,J105,IF($E$1=$K$2,K105,""))))))))</f>
        <v>Klicken Sie hier, um das Formular als PDF einzureichen.</v>
      </c>
    </row>
    <row r="106" spans="1:12" s="89" customFormat="1" ht="82.8">
      <c r="A106" s="86" t="s">
        <v>952</v>
      </c>
      <c r="B106" s="12" t="s">
        <v>130</v>
      </c>
      <c r="C106" s="89" t="s">
        <v>2229</v>
      </c>
      <c r="D106" s="145" t="s">
        <v>132</v>
      </c>
      <c r="F106" s="206"/>
      <c r="K106" s="10" t="s">
        <v>2230</v>
      </c>
      <c r="L106" s="10" t="str">
        <f t="shared" si="1"/>
        <v xml:space="preserve">Bitte speichern Sie das Excel-Sheet als PDF-Datei und die vollständig ausgefüllte und unterzeichnete PDF, sowie alle weiteren relevanten Unterlagen senden Sie bitte an: ap.globalvendormaintenance@lexisnexis.com und accounting@lexisnexis.at </v>
      </c>
    </row>
    <row r="107" spans="1:12">
      <c r="A107" s="14" t="s">
        <v>961</v>
      </c>
      <c r="B107" s="12" t="s">
        <v>130</v>
      </c>
      <c r="C107" s="8" t="s">
        <v>2</v>
      </c>
      <c r="D107" s="109" t="s">
        <v>132</v>
      </c>
      <c r="K107" s="10" t="s">
        <v>2177</v>
      </c>
      <c r="L107" s="10" t="str">
        <f t="shared" si="1"/>
        <v>Wählen Sie</v>
      </c>
    </row>
    <row r="108" spans="1:12">
      <c r="A108" s="14" t="s">
        <v>969</v>
      </c>
      <c r="B108" s="12" t="s">
        <v>130</v>
      </c>
      <c r="C108" s="8" t="s">
        <v>970</v>
      </c>
      <c r="D108" s="109" t="s">
        <v>132</v>
      </c>
      <c r="K108" s="10" t="s">
        <v>977</v>
      </c>
      <c r="L108" s="10" t="str">
        <f t="shared" si="1"/>
        <v>JA</v>
      </c>
    </row>
    <row r="109" spans="1:12">
      <c r="A109" s="14" t="s">
        <v>978</v>
      </c>
      <c r="B109" s="13" t="s">
        <v>130</v>
      </c>
      <c r="C109" s="8" t="s">
        <v>979</v>
      </c>
      <c r="D109" s="116" t="s">
        <v>132</v>
      </c>
      <c r="K109" s="10" t="s">
        <v>985</v>
      </c>
      <c r="L109" s="10" t="str">
        <f t="shared" si="1"/>
        <v>NEIN</v>
      </c>
    </row>
    <row r="110" spans="1:12">
      <c r="A110" s="14" t="s">
        <v>986</v>
      </c>
      <c r="B110" s="13" t="s">
        <v>130</v>
      </c>
      <c r="C110" s="3" t="s">
        <v>987</v>
      </c>
      <c r="D110" s="116" t="s">
        <v>132</v>
      </c>
      <c r="K110" s="10" t="s">
        <v>2231</v>
      </c>
      <c r="L110" s="10" t="str">
        <f t="shared" si="1"/>
        <v>Neuanlage Lieferant/Autor</v>
      </c>
    </row>
    <row r="111" spans="1:12">
      <c r="A111" s="14" t="s">
        <v>986</v>
      </c>
      <c r="B111" s="13" t="s">
        <v>130</v>
      </c>
      <c r="C111" s="3" t="s">
        <v>995</v>
      </c>
      <c r="D111" s="116" t="s">
        <v>132</v>
      </c>
      <c r="K111" s="10" t="s">
        <v>2232</v>
      </c>
      <c r="L111" s="10" t="str">
        <f t="shared" si="1"/>
        <v>Lieferanten-/Autorendetails ändern/aktualisieren</v>
      </c>
    </row>
    <row r="112" spans="1:12">
      <c r="A112" s="14" t="s">
        <v>986</v>
      </c>
      <c r="B112" s="13" t="s">
        <v>130</v>
      </c>
      <c r="C112" s="3" t="s">
        <v>1003</v>
      </c>
      <c r="D112" s="116" t="s">
        <v>132</v>
      </c>
      <c r="K112" s="10" t="s">
        <v>2233</v>
      </c>
      <c r="L112" s="10" t="str">
        <f t="shared" si="1"/>
        <v>Reaktivierung eines inaktiven Lieferanten/Autors</v>
      </c>
    </row>
    <row r="113" spans="1:12">
      <c r="A113" s="14" t="s">
        <v>986</v>
      </c>
      <c r="B113" s="13" t="s">
        <v>130</v>
      </c>
      <c r="C113" s="3" t="s">
        <v>765</v>
      </c>
      <c r="D113" s="116" t="s">
        <v>132</v>
      </c>
      <c r="K113" s="10" t="s">
        <v>2234</v>
      </c>
      <c r="L113" s="10" t="str">
        <f t="shared" si="1"/>
        <v>Sonstiges</v>
      </c>
    </row>
    <row r="114" spans="1:12">
      <c r="A114" s="14" t="s">
        <v>1012</v>
      </c>
      <c r="B114" s="13" t="s">
        <v>130</v>
      </c>
      <c r="C114" s="3" t="s">
        <v>1013</v>
      </c>
      <c r="D114" s="116" t="s">
        <v>132</v>
      </c>
      <c r="K114" s="10" t="s">
        <v>1020</v>
      </c>
      <c r="L114" s="10" t="str">
        <f t="shared" si="1"/>
        <v>Zusätzliche Adresse hinzufügen</v>
      </c>
    </row>
    <row r="115" spans="1:12">
      <c r="A115" s="14" t="s">
        <v>1012</v>
      </c>
      <c r="B115" s="13" t="s">
        <v>130</v>
      </c>
      <c r="C115" s="3" t="s">
        <v>1021</v>
      </c>
      <c r="D115" s="116" t="s">
        <v>132</v>
      </c>
      <c r="K115" s="10" t="s">
        <v>2235</v>
      </c>
      <c r="L115" s="10" t="str">
        <f t="shared" si="1"/>
        <v>Vorhandene Adresse ändern</v>
      </c>
    </row>
    <row r="116" spans="1:12">
      <c r="A116" s="14" t="s">
        <v>1012</v>
      </c>
      <c r="B116" s="13" t="s">
        <v>130</v>
      </c>
      <c r="C116" s="3" t="s">
        <v>1029</v>
      </c>
      <c r="D116" s="116" t="s">
        <v>132</v>
      </c>
      <c r="K116" s="10" t="s">
        <v>1036</v>
      </c>
      <c r="L116" s="10" t="str">
        <f t="shared" si="1"/>
        <v>Bankdaten ändern</v>
      </c>
    </row>
    <row r="117" spans="1:12">
      <c r="A117" s="14" t="s">
        <v>1012</v>
      </c>
      <c r="B117" s="13" t="s">
        <v>130</v>
      </c>
      <c r="C117" s="3" t="s">
        <v>1037</v>
      </c>
      <c r="D117" s="116" t="s">
        <v>132</v>
      </c>
      <c r="K117" s="10" t="s">
        <v>1044</v>
      </c>
      <c r="L117" s="10" t="str">
        <f t="shared" si="1"/>
        <v>Adresse und Bankverbindung ändern</v>
      </c>
    </row>
    <row r="118" spans="1:12">
      <c r="A118" s="14" t="s">
        <v>1045</v>
      </c>
      <c r="B118" s="13" t="s">
        <v>130</v>
      </c>
      <c r="C118" s="3" t="s">
        <v>1046</v>
      </c>
      <c r="D118" s="116" t="s">
        <v>132</v>
      </c>
      <c r="K118" s="10" t="s">
        <v>1053</v>
      </c>
      <c r="L118" s="10" t="str">
        <f t="shared" si="1"/>
        <v>Elektronisch</v>
      </c>
    </row>
    <row r="119" spans="1:12" hidden="1">
      <c r="A119" s="14" t="s">
        <v>1054</v>
      </c>
      <c r="B119" s="13" t="s">
        <v>130</v>
      </c>
      <c r="C119" s="3" t="s">
        <v>1055</v>
      </c>
      <c r="D119" s="116" t="s">
        <v>132</v>
      </c>
      <c r="K119" s="10" t="s">
        <v>1062</v>
      </c>
      <c r="L119" s="10" t="str">
        <f t="shared" si="1"/>
        <v>Innerhalb der Vereinigten Staaten</v>
      </c>
    </row>
    <row r="120" spans="1:12" hidden="1">
      <c r="A120" s="14" t="s">
        <v>1054</v>
      </c>
      <c r="B120" s="13" t="s">
        <v>130</v>
      </c>
      <c r="C120" s="3" t="s">
        <v>1063</v>
      </c>
      <c r="D120" s="116" t="s">
        <v>132</v>
      </c>
      <c r="K120" s="10" t="s">
        <v>1070</v>
      </c>
      <c r="L120" s="10" t="str">
        <f t="shared" si="1"/>
        <v>Außerhalb der USA</v>
      </c>
    </row>
    <row r="121" spans="1:12" hidden="1">
      <c r="A121" s="14" t="s">
        <v>1071</v>
      </c>
      <c r="B121" s="13" t="s">
        <v>130</v>
      </c>
      <c r="C121" s="6" t="s">
        <v>1072</v>
      </c>
      <c r="D121" s="116" t="s">
        <v>132</v>
      </c>
      <c r="K121" s="10" t="s">
        <v>1079</v>
      </c>
      <c r="L121" s="10" t="str">
        <f t="shared" si="1"/>
        <v>Dienstleistungen</v>
      </c>
    </row>
    <row r="122" spans="1:12" hidden="1">
      <c r="A122" s="14" t="s">
        <v>1071</v>
      </c>
      <c r="B122" s="13" t="s">
        <v>130</v>
      </c>
      <c r="C122" s="6" t="s">
        <v>1080</v>
      </c>
      <c r="D122" s="116" t="s">
        <v>132</v>
      </c>
      <c r="K122" s="10" t="s">
        <v>1087</v>
      </c>
      <c r="L122" s="10" t="str">
        <f t="shared" si="1"/>
        <v>Waren</v>
      </c>
    </row>
    <row r="123" spans="1:12" hidden="1">
      <c r="A123" s="14" t="s">
        <v>1071</v>
      </c>
      <c r="B123" s="13" t="s">
        <v>130</v>
      </c>
      <c r="C123" s="6" t="s">
        <v>1088</v>
      </c>
      <c r="D123" s="116" t="s">
        <v>132</v>
      </c>
      <c r="K123" s="10" t="s">
        <v>1095</v>
      </c>
      <c r="L123" s="10" t="str">
        <f t="shared" si="1"/>
        <v>Waren und Dienstleistungen</v>
      </c>
    </row>
    <row r="124" spans="1:12" hidden="1">
      <c r="A124" s="14" t="s">
        <v>1071</v>
      </c>
      <c r="B124" s="13" t="s">
        <v>130</v>
      </c>
      <c r="C124" s="6" t="s">
        <v>1096</v>
      </c>
      <c r="D124" s="116" t="s">
        <v>132</v>
      </c>
      <c r="K124" s="10" t="s">
        <v>1103</v>
      </c>
      <c r="L124" s="10" t="str">
        <f t="shared" si="1"/>
        <v>Lizenzgebühren</v>
      </c>
    </row>
    <row r="125" spans="1:12" hidden="1">
      <c r="A125" s="14" t="s">
        <v>1071</v>
      </c>
      <c r="B125" s="13" t="s">
        <v>130</v>
      </c>
      <c r="C125" s="6" t="s">
        <v>1104</v>
      </c>
      <c r="D125" s="116" t="s">
        <v>132</v>
      </c>
      <c r="K125" s="10" t="s">
        <v>1111</v>
      </c>
      <c r="L125" s="10" t="str">
        <f t="shared" si="1"/>
        <v>Polizeiberichte</v>
      </c>
    </row>
    <row r="126" spans="1:12">
      <c r="A126" s="254" t="s">
        <v>1112</v>
      </c>
      <c r="B126" s="13" t="s">
        <v>130</v>
      </c>
      <c r="C126" s="255" t="s">
        <v>1113</v>
      </c>
      <c r="D126" s="116" t="s">
        <v>132</v>
      </c>
      <c r="K126" s="10" t="s">
        <v>1120</v>
      </c>
      <c r="L126" s="10" t="str">
        <f t="shared" si="1"/>
        <v>Herausgeber und Autoren</v>
      </c>
    </row>
    <row r="127" spans="1:12">
      <c r="A127" s="254" t="s">
        <v>1112</v>
      </c>
      <c r="B127" s="13" t="s">
        <v>130</v>
      </c>
      <c r="C127" s="255" t="s">
        <v>1121</v>
      </c>
      <c r="D127" s="116" t="s">
        <v>132</v>
      </c>
      <c r="K127" s="10" t="s">
        <v>1127</v>
      </c>
      <c r="L127" s="10" t="str">
        <f t="shared" si="1"/>
        <v>Provisionen</v>
      </c>
    </row>
    <row r="128" spans="1:12">
      <c r="A128" s="254" t="s">
        <v>1112</v>
      </c>
      <c r="B128" s="13" t="s">
        <v>130</v>
      </c>
      <c r="C128" s="255" t="s">
        <v>1128</v>
      </c>
      <c r="D128" s="116" t="s">
        <v>132</v>
      </c>
      <c r="K128" s="10" t="s">
        <v>1135</v>
      </c>
      <c r="L128" s="10" t="str">
        <f t="shared" si="1"/>
        <v>Kundenrückerstattung</v>
      </c>
    </row>
    <row r="129" spans="1:12" hidden="1">
      <c r="A129" s="254" t="s">
        <v>1112</v>
      </c>
      <c r="B129" s="13" t="s">
        <v>130</v>
      </c>
      <c r="C129" s="6" t="s">
        <v>1136</v>
      </c>
      <c r="D129" s="116" t="s">
        <v>132</v>
      </c>
      <c r="K129" s="10">
        <v>0</v>
      </c>
      <c r="L129" s="10">
        <f t="shared" si="1"/>
        <v>0</v>
      </c>
    </row>
    <row r="130" spans="1:12">
      <c r="A130" s="254" t="s">
        <v>1112</v>
      </c>
      <c r="B130" s="13" t="s">
        <v>130</v>
      </c>
      <c r="C130" s="255" t="s">
        <v>1137</v>
      </c>
      <c r="D130" s="116" t="s">
        <v>132</v>
      </c>
      <c r="K130" s="10" t="s">
        <v>2236</v>
      </c>
      <c r="L130" s="10" t="str">
        <f t="shared" si="1"/>
        <v>Mitarbeiter</v>
      </c>
    </row>
    <row r="131" spans="1:12">
      <c r="A131" s="254" t="s">
        <v>1112</v>
      </c>
      <c r="B131" s="13" t="s">
        <v>130</v>
      </c>
      <c r="C131" s="255" t="s">
        <v>1145</v>
      </c>
      <c r="D131" s="116" t="s">
        <v>132</v>
      </c>
      <c r="K131" s="10" t="s">
        <v>1152</v>
      </c>
      <c r="L131" s="10" t="str">
        <f t="shared" si="1"/>
        <v>Freiberufler</v>
      </c>
    </row>
    <row r="132" spans="1:12">
      <c r="A132" s="254" t="s">
        <v>1112</v>
      </c>
      <c r="B132" s="13" t="s">
        <v>130</v>
      </c>
      <c r="C132" s="255" t="s">
        <v>1153</v>
      </c>
      <c r="D132" s="116" t="s">
        <v>132</v>
      </c>
      <c r="K132" s="10" t="s">
        <v>2237</v>
      </c>
      <c r="L132" s="10" t="str">
        <f t="shared" ref="L132:L195" si="2">IF($E$1=$C$2,C132,IF($E$1=$E$2,E132,IF($E$1=$F$2,F132,IF($E$1=$G$2,G132,IF($E$1=$H$2,H132,IF($E$1=$I$2,I132,IF($E$1=$J$2,J132,IF($E$1=$K$2,K132,C132))))))))</f>
        <v>Rechtsberatung</v>
      </c>
    </row>
    <row r="133" spans="1:12" s="8" customFormat="1" ht="27.6" hidden="1">
      <c r="A133" s="254" t="s">
        <v>1112</v>
      </c>
      <c r="B133" s="14" t="s">
        <v>130</v>
      </c>
      <c r="C133" s="197" t="s">
        <v>1161</v>
      </c>
      <c r="D133" s="11" t="s">
        <v>132</v>
      </c>
      <c r="E133" s="89"/>
      <c r="F133" s="89"/>
      <c r="G133" s="89"/>
      <c r="H133" s="89"/>
      <c r="I133" s="89"/>
      <c r="J133" s="89"/>
      <c r="K133" s="10" t="s">
        <v>1168</v>
      </c>
      <c r="L133" s="10" t="str">
        <f t="shared" si="2"/>
        <v>Kleinst- und mittelständische Unternehmen – nur für Indien</v>
      </c>
    </row>
    <row r="134" spans="1:12">
      <c r="A134" s="254" t="s">
        <v>1112</v>
      </c>
      <c r="B134" s="13" t="s">
        <v>130</v>
      </c>
      <c r="C134" s="255" t="s">
        <v>1169</v>
      </c>
      <c r="D134" s="116" t="s">
        <v>132</v>
      </c>
      <c r="K134" s="10" t="s">
        <v>2238</v>
      </c>
      <c r="L134" s="10" t="str">
        <f t="shared" si="2"/>
        <v>Lieferant (allgemein)</v>
      </c>
    </row>
    <row r="135" spans="1:12">
      <c r="A135" s="254" t="s">
        <v>1112</v>
      </c>
      <c r="B135" s="13" t="s">
        <v>130</v>
      </c>
      <c r="C135" s="255" t="s">
        <v>1177</v>
      </c>
      <c r="D135" s="116" t="s">
        <v>132</v>
      </c>
      <c r="K135" s="10" t="s">
        <v>2239</v>
      </c>
      <c r="L135" s="10" t="str">
        <f t="shared" si="2"/>
        <v>Miete/Pacht</v>
      </c>
    </row>
    <row r="136" spans="1:12">
      <c r="A136" s="254" t="s">
        <v>1112</v>
      </c>
      <c r="B136" s="13" t="s">
        <v>130</v>
      </c>
      <c r="C136" s="255" t="s">
        <v>1096</v>
      </c>
      <c r="D136" s="116" t="s">
        <v>132</v>
      </c>
      <c r="H136" s="111"/>
      <c r="K136" s="10" t="s">
        <v>2240</v>
      </c>
      <c r="L136" s="10" t="str">
        <f t="shared" si="2"/>
        <v>Lizenzgeber</v>
      </c>
    </row>
    <row r="137" spans="1:12" hidden="1">
      <c r="A137" s="254" t="s">
        <v>1112</v>
      </c>
      <c r="B137" s="13" t="s">
        <v>130</v>
      </c>
      <c r="C137" s="6" t="s">
        <v>1186</v>
      </c>
      <c r="D137" s="116" t="s">
        <v>132</v>
      </c>
      <c r="H137" s="111"/>
      <c r="K137" s="10" t="s">
        <v>1193</v>
      </c>
      <c r="L137" s="10" t="str">
        <f t="shared" si="2"/>
        <v>Lizenzgebühren - Lizenzierung</v>
      </c>
    </row>
    <row r="138" spans="1:12" hidden="1">
      <c r="A138" s="254" t="s">
        <v>1112</v>
      </c>
      <c r="B138" s="13" t="s">
        <v>130</v>
      </c>
      <c r="C138" s="6" t="s">
        <v>1194</v>
      </c>
      <c r="D138" s="116" t="s">
        <v>132</v>
      </c>
      <c r="H138" s="111"/>
      <c r="K138" s="10" t="s">
        <v>1201</v>
      </c>
      <c r="L138" s="10" t="str">
        <f t="shared" si="2"/>
        <v>Lizenzfreier Lizenzgeber</v>
      </c>
    </row>
    <row r="139" spans="1:12">
      <c r="A139" s="254" t="s">
        <v>1112</v>
      </c>
      <c r="B139" s="13" t="s">
        <v>130</v>
      </c>
      <c r="C139" s="255" t="s">
        <v>1202</v>
      </c>
      <c r="D139" s="116" t="s">
        <v>132</v>
      </c>
      <c r="H139" s="111"/>
      <c r="K139" s="10" t="s">
        <v>1209</v>
      </c>
      <c r="L139" s="10" t="str">
        <f t="shared" si="2"/>
        <v>Steuerbehörde</v>
      </c>
    </row>
    <row r="140" spans="1:12">
      <c r="A140" s="254" t="s">
        <v>1112</v>
      </c>
      <c r="B140" s="13" t="s">
        <v>130</v>
      </c>
      <c r="C140" s="255" t="s">
        <v>1210</v>
      </c>
      <c r="D140" s="116" t="s">
        <v>132</v>
      </c>
      <c r="K140" s="10" t="s">
        <v>2241</v>
      </c>
      <c r="L140" s="10" t="str">
        <f t="shared" si="2"/>
        <v>Energie- und Versorgungsunternehmen</v>
      </c>
    </row>
    <row r="141" spans="1:12" hidden="1">
      <c r="A141" s="14" t="s">
        <v>1218</v>
      </c>
      <c r="B141" s="13" t="s">
        <v>130</v>
      </c>
      <c r="C141" s="3" t="s">
        <v>1219</v>
      </c>
      <c r="D141" s="116" t="s">
        <v>132</v>
      </c>
      <c r="K141" s="10"/>
      <c r="L141" s="10">
        <f t="shared" si="2"/>
        <v>0</v>
      </c>
    </row>
    <row r="142" spans="1:12" hidden="1">
      <c r="A142" s="14" t="s">
        <v>1218</v>
      </c>
      <c r="B142" s="13" t="s">
        <v>130</v>
      </c>
      <c r="C142" s="3" t="s">
        <v>1227</v>
      </c>
      <c r="D142" s="116" t="s">
        <v>132</v>
      </c>
      <c r="K142" s="10"/>
      <c r="L142" s="10">
        <f t="shared" si="2"/>
        <v>0</v>
      </c>
    </row>
    <row r="143" spans="1:12" s="89" customFormat="1" ht="27.6" hidden="1">
      <c r="A143" s="86" t="s">
        <v>1235</v>
      </c>
      <c r="B143" s="13" t="s">
        <v>130</v>
      </c>
      <c r="C143" s="10" t="s">
        <v>1236</v>
      </c>
      <c r="D143" s="11" t="s">
        <v>132</v>
      </c>
      <c r="K143" s="10"/>
      <c r="L143" s="10">
        <f t="shared" si="2"/>
        <v>0</v>
      </c>
    </row>
    <row r="144" spans="1:12" hidden="1">
      <c r="A144" s="14" t="s">
        <v>1235</v>
      </c>
      <c r="B144" s="13" t="s">
        <v>130</v>
      </c>
      <c r="C144" s="3" t="s">
        <v>1244</v>
      </c>
      <c r="D144" s="116" t="s">
        <v>132</v>
      </c>
      <c r="K144" s="10"/>
      <c r="L144" s="10">
        <f t="shared" si="2"/>
        <v>0</v>
      </c>
    </row>
    <row r="145" spans="1:12" hidden="1">
      <c r="A145" s="14" t="s">
        <v>1235</v>
      </c>
      <c r="B145" s="13" t="s">
        <v>130</v>
      </c>
      <c r="C145" s="3" t="s">
        <v>1252</v>
      </c>
      <c r="D145" s="116" t="s">
        <v>132</v>
      </c>
      <c r="K145" s="10"/>
      <c r="L145" s="10">
        <f t="shared" si="2"/>
        <v>0</v>
      </c>
    </row>
    <row r="146" spans="1:12" s="129" customFormat="1" ht="27.6" hidden="1">
      <c r="A146" s="86" t="s">
        <v>1235</v>
      </c>
      <c r="B146" s="13" t="s">
        <v>130</v>
      </c>
      <c r="C146" s="42" t="s">
        <v>1260</v>
      </c>
      <c r="D146" s="116" t="s">
        <v>132</v>
      </c>
      <c r="K146" s="10"/>
      <c r="L146" s="10">
        <f t="shared" si="2"/>
        <v>0</v>
      </c>
    </row>
    <row r="147" spans="1:12" s="8" customFormat="1" hidden="1">
      <c r="A147" s="14" t="s">
        <v>1268</v>
      </c>
      <c r="B147" s="13" t="s">
        <v>130</v>
      </c>
      <c r="C147" s="10" t="s">
        <v>1269</v>
      </c>
      <c r="D147" s="11" t="s">
        <v>132</v>
      </c>
      <c r="E147" s="89"/>
      <c r="F147" s="89"/>
      <c r="G147" s="89"/>
      <c r="H147" s="89"/>
      <c r="I147" s="89"/>
      <c r="J147" s="89"/>
      <c r="K147" s="10"/>
      <c r="L147" s="10">
        <f t="shared" si="2"/>
        <v>0</v>
      </c>
    </row>
    <row r="148" spans="1:12" s="8" customFormat="1">
      <c r="A148" s="14" t="s">
        <v>1277</v>
      </c>
      <c r="B148" s="13" t="s">
        <v>130</v>
      </c>
      <c r="C148" s="10" t="s">
        <v>756</v>
      </c>
      <c r="D148" s="11" t="s">
        <v>132</v>
      </c>
      <c r="E148" s="89"/>
      <c r="F148" s="89"/>
      <c r="G148" s="89"/>
      <c r="H148" s="89"/>
      <c r="I148" s="89"/>
      <c r="J148" s="89"/>
      <c r="K148" s="10" t="s">
        <v>763</v>
      </c>
      <c r="L148" s="10" t="str">
        <f t="shared" si="2"/>
        <v>Rechnungswährung</v>
      </c>
    </row>
    <row r="149" spans="1:12" s="8" customFormat="1" ht="27.6" hidden="1">
      <c r="A149" s="14" t="s">
        <v>1280</v>
      </c>
      <c r="B149" s="13" t="s">
        <v>130</v>
      </c>
      <c r="C149" s="10" t="s">
        <v>1281</v>
      </c>
      <c r="D149" s="11" t="s">
        <v>132</v>
      </c>
      <c r="E149" s="89"/>
      <c r="F149" s="89"/>
      <c r="G149" s="89"/>
      <c r="H149" s="89"/>
      <c r="I149" s="89"/>
      <c r="J149" s="89"/>
      <c r="K149" s="10"/>
      <c r="L149" s="10">
        <f t="shared" si="2"/>
        <v>0</v>
      </c>
    </row>
    <row r="150" spans="1:12">
      <c r="A150" s="14" t="s">
        <v>1289</v>
      </c>
      <c r="B150" s="13" t="s">
        <v>130</v>
      </c>
      <c r="C150" s="10" t="s">
        <v>8</v>
      </c>
      <c r="D150" s="109" t="s">
        <v>132</v>
      </c>
      <c r="K150" s="10" t="s">
        <v>1296</v>
      </c>
      <c r="L150" s="10" t="str">
        <f t="shared" si="2"/>
        <v>Wählen Sie Ja oder Nein</v>
      </c>
    </row>
    <row r="151" spans="1:12" hidden="1">
      <c r="A151" s="14" t="s">
        <v>1297</v>
      </c>
      <c r="B151" s="13" t="s">
        <v>130</v>
      </c>
      <c r="C151" s="10" t="s">
        <v>1298</v>
      </c>
      <c r="D151" s="109" t="s">
        <v>132</v>
      </c>
      <c r="K151" s="10"/>
      <c r="L151" s="10">
        <f t="shared" si="2"/>
        <v>0</v>
      </c>
    </row>
    <row r="152" spans="1:12" hidden="1">
      <c r="A152" s="14" t="s">
        <v>1306</v>
      </c>
      <c r="B152" s="13" t="s">
        <v>130</v>
      </c>
      <c r="C152" s="3" t="s">
        <v>1307</v>
      </c>
      <c r="D152" s="109" t="s">
        <v>132</v>
      </c>
      <c r="K152" s="10"/>
      <c r="L152" s="10">
        <f t="shared" si="2"/>
        <v>0</v>
      </c>
    </row>
    <row r="153" spans="1:12" hidden="1">
      <c r="A153" s="14" t="s">
        <v>1306</v>
      </c>
      <c r="B153" s="13" t="s">
        <v>130</v>
      </c>
      <c r="C153" s="3" t="s">
        <v>1315</v>
      </c>
      <c r="D153" s="109" t="s">
        <v>132</v>
      </c>
      <c r="K153" s="10"/>
      <c r="L153" s="10">
        <f t="shared" si="2"/>
        <v>0</v>
      </c>
    </row>
    <row r="154" spans="1:12" hidden="1">
      <c r="A154" s="14" t="s">
        <v>1306</v>
      </c>
      <c r="B154" s="13" t="s">
        <v>130</v>
      </c>
      <c r="C154" s="3" t="s">
        <v>1323</v>
      </c>
      <c r="D154" s="109" t="s">
        <v>132</v>
      </c>
      <c r="K154" s="10"/>
      <c r="L154" s="10">
        <f t="shared" si="2"/>
        <v>0</v>
      </c>
    </row>
    <row r="155" spans="1:12" hidden="1">
      <c r="A155" s="14" t="s">
        <v>1306</v>
      </c>
      <c r="B155" s="13" t="s">
        <v>130</v>
      </c>
      <c r="C155" s="3" t="s">
        <v>1331</v>
      </c>
      <c r="D155" s="109" t="s">
        <v>132</v>
      </c>
      <c r="K155" s="10"/>
      <c r="L155" s="10">
        <f t="shared" si="2"/>
        <v>0</v>
      </c>
    </row>
    <row r="156" spans="1:12" hidden="1">
      <c r="A156" s="14" t="s">
        <v>1306</v>
      </c>
      <c r="B156" s="13" t="s">
        <v>130</v>
      </c>
      <c r="C156" s="3" t="s">
        <v>1339</v>
      </c>
      <c r="D156" s="109" t="s">
        <v>132</v>
      </c>
      <c r="K156" s="10"/>
      <c r="L156" s="10">
        <f t="shared" si="2"/>
        <v>0</v>
      </c>
    </row>
    <row r="157" spans="1:12" hidden="1">
      <c r="A157" s="14" t="s">
        <v>1306</v>
      </c>
      <c r="B157" s="13" t="s">
        <v>130</v>
      </c>
      <c r="C157" s="3" t="s">
        <v>1340</v>
      </c>
      <c r="D157" s="109" t="s">
        <v>132</v>
      </c>
      <c r="K157" s="10"/>
      <c r="L157" s="10">
        <f t="shared" si="2"/>
        <v>0</v>
      </c>
    </row>
    <row r="158" spans="1:12" hidden="1">
      <c r="A158" s="14" t="s">
        <v>1306</v>
      </c>
      <c r="B158" s="13" t="s">
        <v>130</v>
      </c>
      <c r="C158" s="3" t="s">
        <v>1341</v>
      </c>
      <c r="D158" s="109" t="s">
        <v>132</v>
      </c>
      <c r="K158" s="10"/>
      <c r="L158" s="10">
        <f t="shared" si="2"/>
        <v>0</v>
      </c>
    </row>
    <row r="159" spans="1:12" hidden="1">
      <c r="A159" s="14" t="s">
        <v>1306</v>
      </c>
      <c r="B159" s="13" t="s">
        <v>130</v>
      </c>
      <c r="C159" s="3" t="s">
        <v>1349</v>
      </c>
      <c r="D159" s="109" t="s">
        <v>132</v>
      </c>
      <c r="K159" s="10"/>
      <c r="L159" s="10">
        <f t="shared" si="2"/>
        <v>0</v>
      </c>
    </row>
    <row r="160" spans="1:12" hidden="1">
      <c r="A160" s="14" t="s">
        <v>1306</v>
      </c>
      <c r="B160" s="13" t="s">
        <v>130</v>
      </c>
      <c r="C160" s="3" t="s">
        <v>1357</v>
      </c>
      <c r="D160" s="109" t="s">
        <v>132</v>
      </c>
      <c r="K160" s="10"/>
      <c r="L160" s="10">
        <f t="shared" si="2"/>
        <v>0</v>
      </c>
    </row>
    <row r="161" spans="1:12" hidden="1">
      <c r="A161" s="14" t="s">
        <v>1306</v>
      </c>
      <c r="B161" s="13" t="s">
        <v>130</v>
      </c>
      <c r="C161" s="3" t="s">
        <v>1362</v>
      </c>
      <c r="D161" s="109" t="s">
        <v>132</v>
      </c>
      <c r="K161" s="10"/>
      <c r="L161" s="10">
        <f t="shared" si="2"/>
        <v>0</v>
      </c>
    </row>
    <row r="162" spans="1:12" s="8" customFormat="1" ht="27.6" hidden="1">
      <c r="A162" s="14" t="s">
        <v>1370</v>
      </c>
      <c r="B162" s="13" t="s">
        <v>130</v>
      </c>
      <c r="C162" s="10" t="s">
        <v>1371</v>
      </c>
      <c r="D162" s="8" t="s">
        <v>132</v>
      </c>
      <c r="E162" s="89"/>
      <c r="F162" s="89"/>
      <c r="G162" s="89"/>
      <c r="H162" s="89"/>
      <c r="I162" s="89"/>
      <c r="J162" s="89"/>
      <c r="K162" s="10"/>
      <c r="L162" s="10">
        <f t="shared" si="2"/>
        <v>0</v>
      </c>
    </row>
    <row r="163" spans="1:12" s="8" customFormat="1" ht="27.6" hidden="1">
      <c r="A163" s="14" t="s">
        <v>1379</v>
      </c>
      <c r="B163" s="13" t="s">
        <v>130</v>
      </c>
      <c r="C163" s="10" t="s">
        <v>1380</v>
      </c>
      <c r="D163" s="8" t="s">
        <v>132</v>
      </c>
      <c r="E163" s="89"/>
      <c r="F163" s="89"/>
      <c r="G163" s="89"/>
      <c r="H163" s="89"/>
      <c r="I163" s="89"/>
      <c r="J163" s="89"/>
      <c r="K163" s="10"/>
      <c r="L163" s="10">
        <f t="shared" si="2"/>
        <v>0</v>
      </c>
    </row>
    <row r="164" spans="1:12" ht="27.6" hidden="1">
      <c r="A164" s="14" t="s">
        <v>1388</v>
      </c>
      <c r="B164" s="13" t="s">
        <v>130</v>
      </c>
      <c r="C164" s="10" t="s">
        <v>1389</v>
      </c>
      <c r="D164" s="8" t="s">
        <v>132</v>
      </c>
      <c r="E164" s="89"/>
      <c r="F164" s="89"/>
      <c r="G164" s="89"/>
      <c r="H164" s="89"/>
      <c r="I164" s="89"/>
      <c r="J164" s="89"/>
      <c r="K164" s="10"/>
      <c r="L164" s="10">
        <f t="shared" si="2"/>
        <v>0</v>
      </c>
    </row>
    <row r="165" spans="1:12" hidden="1">
      <c r="A165" s="14" t="s">
        <v>1397</v>
      </c>
      <c r="B165" s="13" t="s">
        <v>130</v>
      </c>
      <c r="C165" s="10" t="s">
        <v>1398</v>
      </c>
      <c r="D165" s="8" t="s">
        <v>132</v>
      </c>
      <c r="K165" s="10"/>
      <c r="L165" s="10">
        <f t="shared" si="2"/>
        <v>0</v>
      </c>
    </row>
    <row r="166" spans="1:12" hidden="1">
      <c r="A166" s="14" t="s">
        <v>1406</v>
      </c>
      <c r="B166" s="13" t="s">
        <v>130</v>
      </c>
      <c r="C166" s="10" t="s">
        <v>1407</v>
      </c>
      <c r="D166" s="8" t="s">
        <v>132</v>
      </c>
      <c r="K166" s="10"/>
      <c r="L166" s="10">
        <f t="shared" si="2"/>
        <v>0</v>
      </c>
    </row>
    <row r="167" spans="1:12" s="8" customFormat="1" hidden="1">
      <c r="A167" s="14" t="s">
        <v>1415</v>
      </c>
      <c r="B167" s="14" t="s">
        <v>130</v>
      </c>
      <c r="C167" s="10" t="s">
        <v>1416</v>
      </c>
      <c r="D167" s="8" t="s">
        <v>132</v>
      </c>
      <c r="G167" s="89"/>
      <c r="H167" s="89"/>
      <c r="I167" s="89"/>
      <c r="J167" s="89"/>
      <c r="K167" s="10"/>
      <c r="L167" s="10">
        <f t="shared" si="2"/>
        <v>0</v>
      </c>
    </row>
    <row r="168" spans="1:12" hidden="1">
      <c r="A168" s="14" t="s">
        <v>1424</v>
      </c>
      <c r="B168" s="13" t="s">
        <v>130</v>
      </c>
      <c r="C168" s="10" t="s">
        <v>1425</v>
      </c>
      <c r="D168" s="8" t="s">
        <v>132</v>
      </c>
      <c r="E168" s="89"/>
      <c r="F168" s="89"/>
      <c r="G168" s="89"/>
      <c r="H168" s="89"/>
      <c r="I168" s="89"/>
      <c r="J168" s="89"/>
      <c r="K168" s="10"/>
      <c r="L168" s="10">
        <f t="shared" si="2"/>
        <v>0</v>
      </c>
    </row>
    <row r="169" spans="1:12" hidden="1">
      <c r="A169" s="14" t="s">
        <v>1424</v>
      </c>
      <c r="B169" s="13" t="s">
        <v>130</v>
      </c>
      <c r="C169" s="10" t="s">
        <v>1433</v>
      </c>
      <c r="D169" s="8" t="s">
        <v>132</v>
      </c>
      <c r="E169" s="89"/>
      <c r="F169" s="89"/>
      <c r="G169" s="89"/>
      <c r="H169" s="89"/>
      <c r="I169" s="89"/>
      <c r="J169" s="89"/>
      <c r="K169" s="10"/>
      <c r="L169" s="10">
        <f t="shared" si="2"/>
        <v>0</v>
      </c>
    </row>
    <row r="170" spans="1:12" hidden="1">
      <c r="A170" s="14" t="s">
        <v>1441</v>
      </c>
      <c r="B170" s="13" t="s">
        <v>130</v>
      </c>
      <c r="C170" s="187" t="s">
        <v>1442</v>
      </c>
      <c r="D170" s="8" t="s">
        <v>132</v>
      </c>
      <c r="E170" s="89"/>
      <c r="F170" s="89"/>
      <c r="G170" s="89"/>
      <c r="H170" s="89"/>
      <c r="I170" s="89"/>
      <c r="J170" s="89"/>
      <c r="K170" s="10"/>
      <c r="L170" s="10">
        <f t="shared" si="2"/>
        <v>0</v>
      </c>
    </row>
    <row r="171" spans="1:12" s="89" customFormat="1" ht="27.6" hidden="1">
      <c r="A171" s="86" t="s">
        <v>1450</v>
      </c>
      <c r="B171" s="86" t="s">
        <v>130</v>
      </c>
      <c r="C171" s="10" t="s">
        <v>1451</v>
      </c>
      <c r="D171" s="89" t="s">
        <v>132</v>
      </c>
      <c r="K171" s="10"/>
      <c r="L171" s="10">
        <f t="shared" si="2"/>
        <v>0</v>
      </c>
    </row>
    <row r="172" spans="1:12" hidden="1">
      <c r="A172" s="14" t="s">
        <v>1459</v>
      </c>
      <c r="B172" s="13" t="s">
        <v>130</v>
      </c>
      <c r="C172" s="10" t="s">
        <v>1460</v>
      </c>
      <c r="D172" s="89" t="s">
        <v>132</v>
      </c>
      <c r="K172" s="10"/>
      <c r="L172" s="10">
        <f t="shared" si="2"/>
        <v>0</v>
      </c>
    </row>
    <row r="173" spans="1:12" hidden="1">
      <c r="A173" s="14" t="s">
        <v>1459</v>
      </c>
      <c r="B173" s="13" t="s">
        <v>130</v>
      </c>
      <c r="C173" s="10" t="s">
        <v>1467</v>
      </c>
      <c r="D173" s="89" t="s">
        <v>132</v>
      </c>
      <c r="K173" s="10"/>
      <c r="L173" s="10">
        <f t="shared" si="2"/>
        <v>0</v>
      </c>
    </row>
    <row r="174" spans="1:12" hidden="1">
      <c r="A174" s="14" t="s">
        <v>1474</v>
      </c>
      <c r="B174" s="13" t="s">
        <v>130</v>
      </c>
      <c r="C174" s="10" t="s">
        <v>1475</v>
      </c>
      <c r="D174" s="89" t="s">
        <v>132</v>
      </c>
      <c r="K174" s="10"/>
      <c r="L174" s="10">
        <f t="shared" si="2"/>
        <v>0</v>
      </c>
    </row>
    <row r="175" spans="1:12">
      <c r="A175" s="14" t="s">
        <v>1483</v>
      </c>
      <c r="B175" s="13" t="s">
        <v>130</v>
      </c>
      <c r="C175" s="10" t="s">
        <v>1484</v>
      </c>
      <c r="D175" s="168" t="s">
        <v>132</v>
      </c>
      <c r="E175" s="8"/>
      <c r="F175" s="8"/>
      <c r="G175" s="8"/>
      <c r="H175" s="8"/>
      <c r="I175" s="8"/>
      <c r="J175" s="8"/>
      <c r="K175" s="10" t="s">
        <v>2242</v>
      </c>
      <c r="L175" s="10" t="str">
        <f t="shared" si="2"/>
        <v>E-Mail-Adresse der Ansprechperson</v>
      </c>
    </row>
    <row r="176" spans="1:12" ht="43.2">
      <c r="A176" s="14" t="s">
        <v>1492</v>
      </c>
      <c r="B176" s="13" t="s">
        <v>130</v>
      </c>
      <c r="C176" s="89" t="s">
        <v>1493</v>
      </c>
      <c r="D176" s="168" t="s">
        <v>132</v>
      </c>
      <c r="E176" s="89"/>
      <c r="F176" s="89"/>
      <c r="G176" s="89"/>
      <c r="H176" s="89"/>
      <c r="I176" s="89"/>
      <c r="J176" s="89"/>
      <c r="K176" s="10" t="s">
        <v>2243</v>
      </c>
      <c r="L176" s="10" t="str">
        <f t="shared" si="2"/>
        <v>(Erhält Zugriff auf das Lieferantenprofil und die Bankinformationen im Lieferantenportal - sofern verfügbar.)</v>
      </c>
    </row>
    <row r="177" spans="1:12" ht="27.6">
      <c r="A177" s="14" t="s">
        <v>1501</v>
      </c>
      <c r="B177" s="13" t="s">
        <v>130</v>
      </c>
      <c r="C177" s="10" t="s">
        <v>1502</v>
      </c>
      <c r="D177" s="168" t="s">
        <v>132</v>
      </c>
      <c r="K177" s="10" t="s">
        <v>2244</v>
      </c>
      <c r="L177" s="10" t="str">
        <f t="shared" si="2"/>
        <v>Geschätzte jährliche Ausgaben mit dem Lieferanten (USD):</v>
      </c>
    </row>
    <row r="178" spans="1:12" ht="76.5" customHeight="1">
      <c r="A178" s="14" t="s">
        <v>1501</v>
      </c>
      <c r="B178" s="13" t="s">
        <v>130</v>
      </c>
      <c r="C178" s="10" t="s">
        <v>1510</v>
      </c>
      <c r="D178" s="168" t="s">
        <v>132</v>
      </c>
      <c r="E178" s="89"/>
      <c r="F178" s="89"/>
      <c r="G178" s="89"/>
      <c r="H178" s="89"/>
      <c r="I178" s="89"/>
      <c r="J178" s="89"/>
      <c r="K178" s="10" t="s">
        <v>2245</v>
      </c>
      <c r="L178" s="10" t="str">
        <f t="shared" si="2"/>
        <v>Glauben Sie, dass dieser Lieferant aus Sicht der Geschäftsstabilität für Ihren RELX-Geschäftsbereich (RELX Corp, Elsevier, LexisNexis Legal and Professional, Risk oder RX) zu den 1 % wichtigsten Lieferanten gehört oder bald dazugehören wird?</v>
      </c>
    </row>
    <row r="179" spans="1:12" ht="27.6">
      <c r="A179" s="14" t="s">
        <v>1501</v>
      </c>
      <c r="B179" s="13" t="s">
        <v>130</v>
      </c>
      <c r="C179" s="10" t="s">
        <v>1518</v>
      </c>
      <c r="D179" s="168" t="s">
        <v>132</v>
      </c>
      <c r="E179" s="89"/>
      <c r="F179" s="89"/>
      <c r="G179" s="89"/>
      <c r="H179" s="89"/>
      <c r="I179" s="89"/>
      <c r="J179" s="89"/>
      <c r="K179" s="10" t="s">
        <v>2246</v>
      </c>
      <c r="L179" s="10" t="str">
        <f t="shared" si="2"/>
        <v>Beträgt die Erstlaufzeit mit dem Lieferanten/Autor ein Jahr oder weniger?</v>
      </c>
    </row>
    <row r="180" spans="1:12" ht="27.6">
      <c r="A180" s="14" t="s">
        <v>1501</v>
      </c>
      <c r="B180" s="13" t="s">
        <v>130</v>
      </c>
      <c r="C180" s="10" t="s">
        <v>1526</v>
      </c>
      <c r="D180" s="168" t="s">
        <v>132</v>
      </c>
      <c r="E180" s="89"/>
      <c r="F180" s="89"/>
      <c r="G180" s="89"/>
      <c r="H180" s="89"/>
      <c r="I180" s="89"/>
      <c r="J180" s="89"/>
      <c r="K180" s="10" t="s">
        <v>2247</v>
      </c>
      <c r="L180" s="10" t="str">
        <f t="shared" si="2"/>
        <v>Liegt mit diesem Lieferanten/Autor ein Vertrag vor?</v>
      </c>
    </row>
    <row r="181" spans="1:12">
      <c r="A181" s="14" t="s">
        <v>1501</v>
      </c>
      <c r="B181" s="13" t="s">
        <v>130</v>
      </c>
      <c r="C181" s="10" t="s">
        <v>1534</v>
      </c>
      <c r="D181" s="168" t="s">
        <v>132</v>
      </c>
      <c r="E181" s="89"/>
      <c r="F181" s="89"/>
      <c r="G181" s="89"/>
      <c r="H181" s="89"/>
      <c r="I181" s="89"/>
      <c r="J181" s="89"/>
      <c r="K181" s="10" t="s">
        <v>2248</v>
      </c>
      <c r="L181" s="10" t="str">
        <f t="shared" si="2"/>
        <v>In Bearbeitung</v>
      </c>
    </row>
    <row r="182" spans="1:12">
      <c r="A182" s="14" t="s">
        <v>1542</v>
      </c>
      <c r="B182" s="13" t="s">
        <v>130</v>
      </c>
      <c r="C182" s="10" t="s">
        <v>1543</v>
      </c>
      <c r="D182" s="168" t="s">
        <v>132</v>
      </c>
      <c r="E182" s="89"/>
      <c r="F182" s="89"/>
      <c r="G182" s="89"/>
      <c r="H182" s="89"/>
      <c r="I182" s="89"/>
      <c r="J182" s="89"/>
      <c r="K182" s="10" t="s">
        <v>2249</v>
      </c>
      <c r="L182" s="10" t="str">
        <f t="shared" si="2"/>
        <v>Business Unit (Procurement)</v>
      </c>
    </row>
    <row r="183" spans="1:12">
      <c r="A183" s="14" t="s">
        <v>1551</v>
      </c>
      <c r="B183" s="13" t="s">
        <v>130</v>
      </c>
      <c r="C183" s="10" t="s">
        <v>1552</v>
      </c>
      <c r="D183" s="168" t="s">
        <v>132</v>
      </c>
      <c r="K183" s="10" t="s">
        <v>1559</v>
      </c>
      <c r="L183" s="10" t="str">
        <f t="shared" si="2"/>
        <v>Organisationstyp</v>
      </c>
    </row>
    <row r="184" spans="1:12">
      <c r="A184" s="14" t="s">
        <v>1551</v>
      </c>
      <c r="B184" s="13" t="s">
        <v>130</v>
      </c>
      <c r="C184" s="10" t="s">
        <v>1560</v>
      </c>
      <c r="D184" s="168" t="s">
        <v>132</v>
      </c>
      <c r="K184" s="10" t="s">
        <v>2250</v>
      </c>
      <c r="L184" s="10" t="str">
        <f t="shared" si="2"/>
        <v>Kapitalgesellschaft (Inland)</v>
      </c>
    </row>
    <row r="185" spans="1:12">
      <c r="A185" s="14" t="s">
        <v>1551</v>
      </c>
      <c r="B185" s="13" t="s">
        <v>130</v>
      </c>
      <c r="C185" s="10" t="s">
        <v>1565</v>
      </c>
      <c r="D185" s="168" t="s">
        <v>132</v>
      </c>
      <c r="K185" s="10" t="s">
        <v>2251</v>
      </c>
      <c r="L185" s="10" t="str">
        <f t="shared" si="2"/>
        <v>Kapitalgesellschaft (Ausland)</v>
      </c>
    </row>
    <row r="186" spans="1:12">
      <c r="A186" s="14" t="s">
        <v>1551</v>
      </c>
      <c r="B186" s="13" t="s">
        <v>130</v>
      </c>
      <c r="C186" s="10" t="s">
        <v>1573</v>
      </c>
      <c r="D186" s="168" t="s">
        <v>132</v>
      </c>
      <c r="K186" s="10" t="s">
        <v>2252</v>
      </c>
      <c r="L186" s="10" t="str">
        <f t="shared" si="2"/>
        <v>Regierungsbehörde (Ausland)</v>
      </c>
    </row>
    <row r="187" spans="1:12">
      <c r="A187" s="14" t="s">
        <v>1551</v>
      </c>
      <c r="B187" s="13" t="s">
        <v>130</v>
      </c>
      <c r="C187" s="10" t="s">
        <v>1581</v>
      </c>
      <c r="D187" s="168" t="s">
        <v>132</v>
      </c>
      <c r="K187" s="10" t="s">
        <v>2253</v>
      </c>
      <c r="L187" s="10" t="str">
        <f t="shared" si="2"/>
        <v>Privatperson (Ausland)</v>
      </c>
    </row>
    <row r="188" spans="1:12">
      <c r="A188" s="14" t="s">
        <v>1551</v>
      </c>
      <c r="B188" s="13" t="s">
        <v>130</v>
      </c>
      <c r="C188" s="10" t="s">
        <v>1589</v>
      </c>
      <c r="D188" s="168" t="s">
        <v>132</v>
      </c>
      <c r="K188" s="10" t="s">
        <v>2254</v>
      </c>
      <c r="L188" s="10" t="str">
        <f t="shared" si="2"/>
        <v>Personengesellschaft (Ausland)</v>
      </c>
    </row>
    <row r="189" spans="1:12">
      <c r="A189" s="14" t="s">
        <v>1551</v>
      </c>
      <c r="B189" s="13" t="s">
        <v>130</v>
      </c>
      <c r="C189" s="10" t="s">
        <v>1597</v>
      </c>
      <c r="D189" s="168" t="s">
        <v>132</v>
      </c>
      <c r="K189" s="10" t="s">
        <v>2255</v>
      </c>
      <c r="L189" s="10" t="str">
        <f t="shared" si="2"/>
        <v>Regierungsbehörde (Inland)</v>
      </c>
    </row>
    <row r="190" spans="1:12">
      <c r="A190" s="14" t="s">
        <v>1551</v>
      </c>
      <c r="B190" s="13" t="s">
        <v>130</v>
      </c>
      <c r="C190" s="10" t="s">
        <v>1467</v>
      </c>
      <c r="D190" s="168" t="s">
        <v>132</v>
      </c>
      <c r="K190" s="10" t="s">
        <v>2256</v>
      </c>
      <c r="L190" s="10" t="str">
        <f t="shared" si="2"/>
        <v>Privatperson (Inland)</v>
      </c>
    </row>
    <row r="191" spans="1:12">
      <c r="A191" s="14" t="s">
        <v>1551</v>
      </c>
      <c r="B191" s="13" t="s">
        <v>130</v>
      </c>
      <c r="C191" s="10" t="s">
        <v>1607</v>
      </c>
      <c r="D191" s="168" t="s">
        <v>132</v>
      </c>
      <c r="K191" s="10" t="s">
        <v>2257</v>
      </c>
      <c r="L191" s="10" t="str">
        <f t="shared" si="2"/>
        <v>Personengesellschaft (Inland)</v>
      </c>
    </row>
    <row r="192" spans="1:12">
      <c r="A192" s="14" t="s">
        <v>1615</v>
      </c>
      <c r="B192" s="13" t="s">
        <v>130</v>
      </c>
      <c r="C192" s="10" t="s">
        <v>1616</v>
      </c>
      <c r="D192" s="168" t="s">
        <v>132</v>
      </c>
      <c r="F192" s="89"/>
      <c r="G192" s="89"/>
      <c r="H192" s="89"/>
      <c r="K192" s="17" t="s">
        <v>1623</v>
      </c>
      <c r="L192" s="10" t="str">
        <f t="shared" si="2"/>
        <v>Geschäftsklassifizierung</v>
      </c>
    </row>
    <row r="193" spans="1:12">
      <c r="A193" s="14" t="s">
        <v>1615</v>
      </c>
      <c r="B193" s="13" t="s">
        <v>130</v>
      </c>
      <c r="C193" s="10" t="s">
        <v>1624</v>
      </c>
      <c r="D193" s="168" t="s">
        <v>132</v>
      </c>
      <c r="F193" s="89"/>
      <c r="G193" s="89"/>
      <c r="H193" s="89"/>
      <c r="K193" s="17" t="s">
        <v>1624</v>
      </c>
      <c r="L193" s="10" t="str">
        <f t="shared" si="2"/>
        <v>8A - 8A</v>
      </c>
    </row>
    <row r="194" spans="1:12" ht="28.8">
      <c r="A194" s="14" t="s">
        <v>1615</v>
      </c>
      <c r="B194" s="13" t="s">
        <v>130</v>
      </c>
      <c r="C194" s="10" t="s">
        <v>1625</v>
      </c>
      <c r="D194" s="168" t="s">
        <v>132</v>
      </c>
      <c r="E194" s="129"/>
      <c r="F194" s="89"/>
      <c r="G194" s="89"/>
      <c r="H194" s="89"/>
      <c r="I194" s="89"/>
      <c r="J194" s="89"/>
      <c r="K194" s="266" t="s">
        <v>1632</v>
      </c>
      <c r="L194" s="10" t="str">
        <f t="shared" si="2"/>
        <v>Breites wirtschaftliches Empowerment der Schwarzen</v>
      </c>
    </row>
    <row r="195" spans="1:12">
      <c r="A195" s="14" t="s">
        <v>1615</v>
      </c>
      <c r="B195" s="13" t="s">
        <v>130</v>
      </c>
      <c r="C195" s="10" t="s">
        <v>1633</v>
      </c>
      <c r="D195" s="168" t="s">
        <v>132</v>
      </c>
      <c r="F195" s="89"/>
      <c r="G195" s="89"/>
      <c r="H195" s="89"/>
      <c r="I195" s="89"/>
      <c r="J195" s="89"/>
      <c r="K195" s="266" t="s">
        <v>1640</v>
      </c>
      <c r="L195" s="10" t="str">
        <f t="shared" si="2"/>
        <v>HUB-Zone</v>
      </c>
    </row>
    <row r="196" spans="1:12">
      <c r="A196" s="14" t="s">
        <v>1615</v>
      </c>
      <c r="B196" s="13" t="s">
        <v>130</v>
      </c>
      <c r="C196" s="10" t="s">
        <v>1641</v>
      </c>
      <c r="D196" s="168" t="s">
        <v>132</v>
      </c>
      <c r="F196" s="89"/>
      <c r="G196" s="89"/>
      <c r="H196" s="89"/>
      <c r="I196" s="89"/>
      <c r="J196" s="89"/>
      <c r="K196" s="266" t="s">
        <v>1641</v>
      </c>
      <c r="L196" s="10" t="str">
        <f t="shared" ref="L196:L255" si="3">IF($E$1=$C$2,C196,IF($E$1=$E$2,E196,IF($E$1=$F$2,F196,IF($E$1=$G$2,G196,IF($E$1=$H$2,H196,IF($E$1=$I$2,I196,IF($E$1=$J$2,J196,IF($E$1=$K$2,K196,C196))))))))</f>
        <v>LGBT+ - LGBTBE</v>
      </c>
    </row>
    <row r="197" spans="1:12" ht="27.6">
      <c r="A197" s="14" t="s">
        <v>1615</v>
      </c>
      <c r="B197" s="13" t="s">
        <v>130</v>
      </c>
      <c r="C197" s="10" t="s">
        <v>1642</v>
      </c>
      <c r="D197" s="168" t="s">
        <v>132</v>
      </c>
      <c r="F197" s="89"/>
      <c r="G197" s="89"/>
      <c r="H197" s="89"/>
      <c r="I197" s="89"/>
      <c r="J197" s="89"/>
      <c r="K197" s="266" t="s">
        <v>1649</v>
      </c>
      <c r="L197" s="10" t="str">
        <f t="shared" si="3"/>
        <v>Kleinstunternehmen, Klein- und Mittelunternehmen</v>
      </c>
    </row>
    <row r="198" spans="1:12">
      <c r="A198" s="14" t="s">
        <v>1615</v>
      </c>
      <c r="B198" s="13" t="s">
        <v>130</v>
      </c>
      <c r="C198" s="10" t="s">
        <v>1650</v>
      </c>
      <c r="D198" s="168" t="s">
        <v>132</v>
      </c>
      <c r="F198" s="89"/>
      <c r="G198" s="89"/>
      <c r="H198" s="89"/>
      <c r="I198" s="89"/>
      <c r="J198" s="89"/>
      <c r="K198" s="266" t="s">
        <v>1657</v>
      </c>
      <c r="L198" s="10" t="str">
        <f t="shared" si="3"/>
        <v>Minderheitsbesitz</v>
      </c>
    </row>
    <row r="199" spans="1:12">
      <c r="A199" s="14" t="s">
        <v>1615</v>
      </c>
      <c r="B199" s="13" t="s">
        <v>130</v>
      </c>
      <c r="C199" s="10" t="s">
        <v>1658</v>
      </c>
      <c r="D199" s="168" t="s">
        <v>132</v>
      </c>
      <c r="F199" s="89"/>
      <c r="G199" s="89"/>
      <c r="H199" s="89"/>
      <c r="I199" s="89"/>
      <c r="J199" s="89"/>
      <c r="K199" s="266" t="s">
        <v>1665</v>
      </c>
      <c r="L199" s="10" t="str">
        <f t="shared" si="3"/>
        <v>Im Besitz eines kriegsversehrten Veteranen</v>
      </c>
    </row>
    <row r="200" spans="1:12">
      <c r="A200" s="14" t="s">
        <v>1615</v>
      </c>
      <c r="B200" s="13" t="s">
        <v>130</v>
      </c>
      <c r="C200" s="10" t="s">
        <v>1666</v>
      </c>
      <c r="D200" s="168" t="s">
        <v>132</v>
      </c>
      <c r="F200" s="89"/>
      <c r="G200" s="89"/>
      <c r="H200" s="89"/>
      <c r="I200" s="89"/>
      <c r="J200" s="89"/>
      <c r="K200" s="266" t="s">
        <v>1673</v>
      </c>
      <c r="L200" s="10" t="str">
        <f t="shared" si="3"/>
        <v>Kriegsversehrte Veteranen</v>
      </c>
    </row>
    <row r="201" spans="1:12">
      <c r="A201" s="14" t="s">
        <v>1615</v>
      </c>
      <c r="B201" s="13" t="s">
        <v>130</v>
      </c>
      <c r="C201" s="10" t="s">
        <v>1674</v>
      </c>
      <c r="D201" s="168" t="s">
        <v>132</v>
      </c>
      <c r="F201" s="89"/>
      <c r="G201" s="89"/>
      <c r="H201" s="89"/>
      <c r="I201" s="89"/>
      <c r="J201" s="89"/>
      <c r="K201" s="266" t="s">
        <v>1680</v>
      </c>
      <c r="L201" s="10" t="str">
        <f t="shared" si="3"/>
        <v>Kleine Unternehmen</v>
      </c>
    </row>
    <row r="202" spans="1:12">
      <c r="A202" s="14" t="s">
        <v>1615</v>
      </c>
      <c r="B202" s="13" t="s">
        <v>130</v>
      </c>
      <c r="C202" s="10" t="s">
        <v>1681</v>
      </c>
      <c r="D202" s="168" t="s">
        <v>132</v>
      </c>
      <c r="F202" s="89"/>
      <c r="G202" s="89"/>
      <c r="H202" s="89"/>
      <c r="I202" s="89"/>
      <c r="J202" s="89"/>
      <c r="K202" s="266" t="s">
        <v>1688</v>
      </c>
      <c r="L202" s="10" t="str">
        <f t="shared" si="3"/>
        <v>Im Besitz eines Veteranen</v>
      </c>
    </row>
    <row r="203" spans="1:12">
      <c r="A203" s="14" t="s">
        <v>1615</v>
      </c>
      <c r="B203" s="13" t="s">
        <v>130</v>
      </c>
      <c r="C203" s="10" t="s">
        <v>1689</v>
      </c>
      <c r="D203" s="168" t="s">
        <v>132</v>
      </c>
      <c r="K203" s="17" t="s">
        <v>1696</v>
      </c>
      <c r="L203" s="10" t="str">
        <f t="shared" si="3"/>
        <v>Im Besitz einer Frau</v>
      </c>
    </row>
    <row r="204" spans="1:12" ht="27.6">
      <c r="A204" s="14" t="s">
        <v>1697</v>
      </c>
      <c r="B204" s="13" t="s">
        <v>130</v>
      </c>
      <c r="C204" s="10" t="s">
        <v>1698</v>
      </c>
      <c r="D204" s="168" t="s">
        <v>132</v>
      </c>
      <c r="E204" s="89"/>
      <c r="F204" s="8"/>
      <c r="G204" s="8"/>
      <c r="H204" s="89"/>
      <c r="I204" s="89"/>
      <c r="J204" s="89"/>
      <c r="K204" s="10" t="s">
        <v>2258</v>
      </c>
      <c r="L204" s="10" t="str">
        <f t="shared" si="3"/>
        <v>Wählen Sie ein Produkt oder eine Dienstleistung aus:</v>
      </c>
    </row>
    <row r="205" spans="1:12">
      <c r="A205" s="14" t="s">
        <v>1697</v>
      </c>
      <c r="B205" s="13" t="s">
        <v>130</v>
      </c>
      <c r="C205" s="10" t="s">
        <v>1706</v>
      </c>
      <c r="D205" s="168" t="s">
        <v>132</v>
      </c>
      <c r="E205" s="89"/>
      <c r="F205" s="8"/>
      <c r="G205" s="8"/>
      <c r="H205" s="89"/>
      <c r="I205" s="89"/>
      <c r="J205" s="89"/>
      <c r="K205" s="10" t="s">
        <v>2259</v>
      </c>
      <c r="L205" s="10" t="str">
        <f t="shared" si="3"/>
        <v>Cloud-Lösungen</v>
      </c>
    </row>
    <row r="206" spans="1:12">
      <c r="A206" s="14" t="s">
        <v>1697</v>
      </c>
      <c r="B206" s="13" t="s">
        <v>130</v>
      </c>
      <c r="C206" s="10" t="s">
        <v>1714</v>
      </c>
      <c r="D206" s="168" t="s">
        <v>132</v>
      </c>
      <c r="E206" s="89"/>
      <c r="F206" s="8"/>
      <c r="G206" s="8"/>
      <c r="H206" s="89"/>
      <c r="I206" s="89"/>
      <c r="J206" s="89"/>
      <c r="K206" s="10" t="s">
        <v>2260</v>
      </c>
      <c r="L206" s="10" t="str">
        <f t="shared" si="3"/>
        <v>Unternehmensberatung</v>
      </c>
    </row>
    <row r="207" spans="1:12">
      <c r="A207" s="14" t="s">
        <v>1697</v>
      </c>
      <c r="B207" s="13" t="s">
        <v>130</v>
      </c>
      <c r="C207" s="10" t="s">
        <v>1722</v>
      </c>
      <c r="D207" s="168" t="s">
        <v>132</v>
      </c>
      <c r="E207" s="89"/>
      <c r="F207" s="8"/>
      <c r="G207" s="8"/>
      <c r="H207" s="89"/>
      <c r="I207" s="89"/>
      <c r="J207" s="89"/>
      <c r="K207" s="10" t="s">
        <v>2261</v>
      </c>
      <c r="L207" s="10" t="str">
        <f t="shared" si="3"/>
        <v>Content/Inhalte</v>
      </c>
    </row>
    <row r="208" spans="1:12">
      <c r="A208" s="14" t="s">
        <v>1697</v>
      </c>
      <c r="B208" s="13" t="s">
        <v>130</v>
      </c>
      <c r="C208" s="10" t="s">
        <v>1730</v>
      </c>
      <c r="D208" s="168" t="s">
        <v>132</v>
      </c>
      <c r="E208" s="89"/>
      <c r="F208" s="8"/>
      <c r="G208" s="8"/>
      <c r="H208" s="89"/>
      <c r="I208" s="89"/>
      <c r="J208" s="89"/>
      <c r="K208" s="10" t="s">
        <v>1737</v>
      </c>
      <c r="L208" s="10" t="str">
        <f t="shared" si="3"/>
        <v>Digitale Marketingsoftware</v>
      </c>
    </row>
    <row r="209" spans="1:12">
      <c r="A209" s="14" t="s">
        <v>1697</v>
      </c>
      <c r="B209" s="13" t="s">
        <v>130</v>
      </c>
      <c r="C209" s="10" t="s">
        <v>1738</v>
      </c>
      <c r="D209" s="168" t="s">
        <v>132</v>
      </c>
      <c r="E209" s="89"/>
      <c r="F209" s="8"/>
      <c r="G209" s="8"/>
      <c r="H209" s="89"/>
      <c r="I209" s="89"/>
      <c r="J209" s="89"/>
      <c r="K209" s="10" t="s">
        <v>2262</v>
      </c>
      <c r="L209" s="10" t="str">
        <f t="shared" si="3"/>
        <v>Logistik</v>
      </c>
    </row>
    <row r="210" spans="1:12">
      <c r="A210" s="14" t="s">
        <v>1697</v>
      </c>
      <c r="B210" s="13" t="s">
        <v>130</v>
      </c>
      <c r="C210" s="10" t="s">
        <v>1745</v>
      </c>
      <c r="D210" s="168" t="s">
        <v>132</v>
      </c>
      <c r="E210" s="89"/>
      <c r="F210" s="8"/>
      <c r="G210" s="8"/>
      <c r="H210" s="89"/>
      <c r="I210" s="89"/>
      <c r="J210" s="89"/>
      <c r="K210" s="10" t="s">
        <v>2263</v>
      </c>
      <c r="L210" s="10" t="str">
        <f t="shared" si="3"/>
        <v>Datenkonvertierung und Lektoratsdienste</v>
      </c>
    </row>
    <row r="211" spans="1:12">
      <c r="A211" s="14" t="s">
        <v>1697</v>
      </c>
      <c r="B211" s="13" t="s">
        <v>130</v>
      </c>
      <c r="C211" s="10" t="s">
        <v>1753</v>
      </c>
      <c r="D211" s="168" t="s">
        <v>132</v>
      </c>
      <c r="E211" s="89"/>
      <c r="F211" s="8"/>
      <c r="G211" s="8"/>
      <c r="H211" s="89"/>
      <c r="I211" s="89"/>
      <c r="J211" s="89"/>
      <c r="K211" s="10" t="s">
        <v>2264</v>
      </c>
      <c r="L211" s="10" t="str">
        <f t="shared" si="3"/>
        <v>Gebäude- und Immobilienmanagement</v>
      </c>
    </row>
    <row r="212" spans="1:12">
      <c r="A212" s="14" t="s">
        <v>1697</v>
      </c>
      <c r="B212" s="13" t="s">
        <v>130</v>
      </c>
      <c r="C212" s="10" t="s">
        <v>1761</v>
      </c>
      <c r="D212" s="168" t="s">
        <v>132</v>
      </c>
      <c r="E212" s="89"/>
      <c r="F212" s="8"/>
      <c r="G212" s="8"/>
      <c r="H212" s="89"/>
      <c r="I212" s="89"/>
      <c r="J212" s="89"/>
      <c r="K212" s="10" t="s">
        <v>2265</v>
      </c>
      <c r="L212" s="10" t="str">
        <f t="shared" si="3"/>
        <v>HR Dienstleistungen für Mitarbeiter</v>
      </c>
    </row>
    <row r="213" spans="1:12">
      <c r="A213" s="14" t="s">
        <v>1697</v>
      </c>
      <c r="B213" s="13" t="s">
        <v>130</v>
      </c>
      <c r="C213" s="10" t="s">
        <v>1769</v>
      </c>
      <c r="D213" s="168" t="s">
        <v>132</v>
      </c>
      <c r="E213" s="89"/>
      <c r="F213" s="8"/>
      <c r="G213" s="8"/>
      <c r="H213" s="89"/>
      <c r="I213" s="89"/>
      <c r="J213" s="89"/>
      <c r="K213" s="10" t="s">
        <v>1769</v>
      </c>
      <c r="L213" s="10" t="str">
        <f t="shared" si="3"/>
        <v>Marketing</v>
      </c>
    </row>
    <row r="214" spans="1:12">
      <c r="A214" s="14" t="s">
        <v>1697</v>
      </c>
      <c r="B214" s="13" t="s">
        <v>130</v>
      </c>
      <c r="C214" s="10" t="s">
        <v>1774</v>
      </c>
      <c r="D214" s="168" t="s">
        <v>132</v>
      </c>
      <c r="E214" s="89"/>
      <c r="F214" s="8"/>
      <c r="G214" s="8"/>
      <c r="H214" s="89"/>
      <c r="I214" s="89"/>
      <c r="J214" s="89"/>
      <c r="K214" s="10" t="s">
        <v>2266</v>
      </c>
      <c r="L214" s="10" t="str">
        <f t="shared" si="3"/>
        <v>Mobilfunkgeräte</v>
      </c>
    </row>
    <row r="215" spans="1:12">
      <c r="A215" s="14" t="s">
        <v>1697</v>
      </c>
      <c r="B215" s="13" t="s">
        <v>130</v>
      </c>
      <c r="C215" s="10" t="s">
        <v>1780</v>
      </c>
      <c r="D215" s="168" t="s">
        <v>132</v>
      </c>
      <c r="E215" s="89"/>
      <c r="F215" s="8"/>
      <c r="G215" s="8"/>
      <c r="H215" s="89"/>
      <c r="I215" s="89"/>
      <c r="J215" s="89"/>
      <c r="K215" s="10" t="s">
        <v>1787</v>
      </c>
      <c r="L215" s="10" t="str">
        <f t="shared" si="3"/>
        <v>Druck &amp; Papier</v>
      </c>
    </row>
    <row r="216" spans="1:12">
      <c r="A216" s="14" t="s">
        <v>1697</v>
      </c>
      <c r="B216" s="13" t="s">
        <v>130</v>
      </c>
      <c r="C216" s="10" t="s">
        <v>1788</v>
      </c>
      <c r="D216" s="168" t="s">
        <v>132</v>
      </c>
      <c r="E216" s="89"/>
      <c r="F216" s="8"/>
      <c r="G216" s="8"/>
      <c r="H216" s="89"/>
      <c r="I216" s="89"/>
      <c r="J216" s="89"/>
      <c r="K216" s="10" t="s">
        <v>2267</v>
      </c>
      <c r="L216" s="10" t="str">
        <f t="shared" si="3"/>
        <v>Rechtsberatung und Finanzdienstleistungen</v>
      </c>
    </row>
    <row r="217" spans="1:12">
      <c r="A217" s="14" t="s">
        <v>1697</v>
      </c>
      <c r="B217" s="13" t="s">
        <v>130</v>
      </c>
      <c r="C217" s="10" t="s">
        <v>1796</v>
      </c>
      <c r="D217" s="168" t="s">
        <v>132</v>
      </c>
      <c r="E217" s="89"/>
      <c r="F217" s="8"/>
      <c r="G217" s="8"/>
      <c r="H217" s="89"/>
      <c r="I217" s="89"/>
      <c r="J217" s="89"/>
      <c r="K217" s="10" t="s">
        <v>1796</v>
      </c>
      <c r="L217" s="10" t="str">
        <f t="shared" si="3"/>
        <v>Software</v>
      </c>
    </row>
    <row r="218" spans="1:12">
      <c r="A218" s="14" t="s">
        <v>1697</v>
      </c>
      <c r="B218" s="13" t="s">
        <v>130</v>
      </c>
      <c r="C218" s="10" t="s">
        <v>1802</v>
      </c>
      <c r="D218" s="168" t="s">
        <v>132</v>
      </c>
      <c r="E218" s="89"/>
      <c r="F218" s="8"/>
      <c r="G218" s="8"/>
      <c r="H218" s="89"/>
      <c r="I218" s="89"/>
      <c r="J218" s="89"/>
      <c r="K218" s="10" t="s">
        <v>1809</v>
      </c>
      <c r="L218" s="10" t="str">
        <f t="shared" si="3"/>
        <v>Technologie-Hardware</v>
      </c>
    </row>
    <row r="219" spans="1:12">
      <c r="A219" s="14" t="s">
        <v>1697</v>
      </c>
      <c r="B219" s="13" t="s">
        <v>130</v>
      </c>
      <c r="C219" s="10" t="s">
        <v>1810</v>
      </c>
      <c r="D219" s="168" t="s">
        <v>132</v>
      </c>
      <c r="E219" s="89"/>
      <c r="F219" s="8"/>
      <c r="G219" s="8"/>
      <c r="H219" s="89"/>
      <c r="I219" s="89"/>
      <c r="J219" s="89"/>
      <c r="K219" s="10" t="s">
        <v>2268</v>
      </c>
      <c r="L219" s="10" t="str">
        <f t="shared" si="3"/>
        <v>IT Drittanbieter</v>
      </c>
    </row>
    <row r="220" spans="1:12">
      <c r="A220" s="14" t="s">
        <v>1697</v>
      </c>
      <c r="B220" s="13" t="s">
        <v>130</v>
      </c>
      <c r="C220" s="10" t="s">
        <v>1818</v>
      </c>
      <c r="D220" s="168" t="s">
        <v>132</v>
      </c>
      <c r="E220" s="89"/>
      <c r="F220" s="8"/>
      <c r="G220" s="8"/>
      <c r="H220" s="89"/>
      <c r="I220" s="89"/>
      <c r="J220" s="89"/>
      <c r="K220" s="10" t="s">
        <v>2269</v>
      </c>
      <c r="L220" s="10" t="str">
        <f t="shared" si="3"/>
        <v>IT Dienstleistungen</v>
      </c>
    </row>
    <row r="221" spans="1:12">
      <c r="A221" s="14" t="s">
        <v>1697</v>
      </c>
      <c r="B221" s="13" t="s">
        <v>130</v>
      </c>
      <c r="C221" s="10" t="s">
        <v>1826</v>
      </c>
      <c r="D221" s="168" t="s">
        <v>132</v>
      </c>
      <c r="E221" s="89"/>
      <c r="F221" s="8"/>
      <c r="G221" s="8"/>
      <c r="H221" s="89"/>
      <c r="I221" s="89"/>
      <c r="J221" s="89"/>
      <c r="K221" s="10" t="s">
        <v>2270</v>
      </c>
      <c r="L221" s="10" t="str">
        <f t="shared" si="3"/>
        <v>Telekommunikation &amp; Internet</v>
      </c>
    </row>
    <row r="222" spans="1:12">
      <c r="A222" s="14" t="s">
        <v>1697</v>
      </c>
      <c r="B222" s="13" t="s">
        <v>130</v>
      </c>
      <c r="C222" s="10" t="s">
        <v>1834</v>
      </c>
      <c r="D222" s="168" t="s">
        <v>132</v>
      </c>
      <c r="E222" s="89"/>
      <c r="F222" s="8"/>
      <c r="G222" s="8"/>
      <c r="H222" s="89"/>
      <c r="I222" s="89"/>
      <c r="J222" s="89"/>
      <c r="K222" s="10" t="s">
        <v>1841</v>
      </c>
      <c r="L222" s="10" t="str">
        <f t="shared" si="3"/>
        <v>Reisen, Tagungen &amp; Ausstellungen</v>
      </c>
    </row>
    <row r="223" spans="1:12">
      <c r="A223" s="14" t="s">
        <v>1697</v>
      </c>
      <c r="B223" s="13" t="s">
        <v>130</v>
      </c>
      <c r="C223" s="10" t="s">
        <v>1842</v>
      </c>
      <c r="D223" s="168" t="s">
        <v>132</v>
      </c>
      <c r="E223" s="89"/>
      <c r="F223" s="8"/>
      <c r="G223" s="8"/>
      <c r="H223" s="89"/>
      <c r="I223" s="89"/>
      <c r="J223" s="89"/>
      <c r="K223" s="10" t="s">
        <v>2271</v>
      </c>
      <c r="L223" s="10" t="str">
        <f t="shared" si="3"/>
        <v>Personaldienstleister</v>
      </c>
    </row>
    <row r="224" spans="1:12" ht="27.6">
      <c r="A224" s="14" t="s">
        <v>1697</v>
      </c>
      <c r="B224" s="13" t="s">
        <v>130</v>
      </c>
      <c r="C224" s="10" t="s">
        <v>1849</v>
      </c>
      <c r="D224" s="168" t="s">
        <v>132</v>
      </c>
      <c r="E224" s="89"/>
      <c r="F224" s="89"/>
      <c r="G224" s="89"/>
      <c r="H224" s="89"/>
      <c r="I224" s="89"/>
      <c r="J224" s="89"/>
      <c r="K224" s="10" t="s">
        <v>1856</v>
      </c>
      <c r="L224" s="10" t="str">
        <f t="shared" si="3"/>
        <v>Von Cloud-Anbietern bereitgestellte Infrastruktur- und Plattformdienste (IaaS, PaaS)</v>
      </c>
    </row>
    <row r="225" spans="1:12">
      <c r="A225" s="14" t="s">
        <v>1697</v>
      </c>
      <c r="B225" s="13" t="s">
        <v>130</v>
      </c>
      <c r="C225" s="10" t="s">
        <v>1857</v>
      </c>
      <c r="D225" s="168" t="s">
        <v>132</v>
      </c>
      <c r="E225" s="89"/>
      <c r="F225" s="89"/>
      <c r="G225" s="89"/>
      <c r="H225" s="89"/>
      <c r="I225" s="89"/>
      <c r="J225" s="89"/>
      <c r="K225" s="10" t="s">
        <v>1864</v>
      </c>
      <c r="L225" s="10" t="str">
        <f t="shared" si="3"/>
        <v>Unternehmensberatung, Beratungsleistungen</v>
      </c>
    </row>
    <row r="226" spans="1:12" ht="27.6">
      <c r="A226" s="14" t="s">
        <v>1697</v>
      </c>
      <c r="B226" s="13" t="s">
        <v>130</v>
      </c>
      <c r="C226" s="10" t="s">
        <v>1865</v>
      </c>
      <c r="D226" s="168" t="s">
        <v>132</v>
      </c>
      <c r="E226" s="89"/>
      <c r="F226" s="89"/>
      <c r="G226" s="89"/>
      <c r="H226" s="89"/>
      <c r="I226" s="89"/>
      <c r="J226" s="89"/>
      <c r="K226" s="10" t="s">
        <v>1872</v>
      </c>
      <c r="L226" s="10" t="str">
        <f t="shared" si="3"/>
        <v>Erwerb, Kauf oder Lizenzierung von Daten oder Inhalten</v>
      </c>
    </row>
    <row r="227" spans="1:12" ht="27.6">
      <c r="A227" s="14" t="s">
        <v>1697</v>
      </c>
      <c r="B227" s="13" t="s">
        <v>130</v>
      </c>
      <c r="C227" s="10" t="s">
        <v>1873</v>
      </c>
      <c r="D227" s="168" t="s">
        <v>132</v>
      </c>
      <c r="E227" s="89"/>
      <c r="F227" s="89"/>
      <c r="G227" s="89"/>
      <c r="H227" s="89"/>
      <c r="I227" s="89"/>
      <c r="J227" s="89"/>
      <c r="K227" s="10" t="s">
        <v>1880</v>
      </c>
      <c r="L227" s="10" t="str">
        <f t="shared" si="3"/>
        <v>Software, die hauptsächlich für Marketing-Services verwendet wird</v>
      </c>
    </row>
    <row r="228" spans="1:12" ht="27.6">
      <c r="A228" s="14" t="s">
        <v>1697</v>
      </c>
      <c r="B228" s="13" t="s">
        <v>130</v>
      </c>
      <c r="C228" s="10" t="s">
        <v>1881</v>
      </c>
      <c r="D228" s="168" t="s">
        <v>132</v>
      </c>
      <c r="E228" s="89"/>
      <c r="F228" s="89"/>
      <c r="G228" s="89"/>
      <c r="H228" s="89"/>
      <c r="I228" s="89"/>
      <c r="J228" s="89"/>
      <c r="K228" s="10" t="s">
        <v>2272</v>
      </c>
      <c r="L228" s="10" t="str">
        <f t="shared" si="3"/>
        <v>Kurierdienst, Porto, Versand, Fracht, Logistik, Bestellabwicklung und Lagerhaltung</v>
      </c>
    </row>
    <row r="229" spans="1:12" ht="41.4">
      <c r="A229" s="14" t="s">
        <v>1697</v>
      </c>
      <c r="B229" s="13" t="s">
        <v>130</v>
      </c>
      <c r="C229" s="10" t="s">
        <v>1889</v>
      </c>
      <c r="D229" s="168" t="s">
        <v>132</v>
      </c>
      <c r="E229" s="89"/>
      <c r="F229" s="89"/>
      <c r="G229" s="89"/>
      <c r="H229" s="89"/>
      <c r="I229" s="89"/>
      <c r="J229" s="89"/>
      <c r="K229" s="10" t="s">
        <v>2273</v>
      </c>
      <c r="L229" s="10" t="str">
        <f t="shared" si="3"/>
        <v>Datenverarbeitung, Exzerpieren, Web Scraping, Konvertierung, Satz, Lektorat, Korrekturlesen und Kundendienst</v>
      </c>
    </row>
    <row r="230" spans="1:12" ht="27.6">
      <c r="A230" s="14" t="s">
        <v>1697</v>
      </c>
      <c r="B230" s="13" t="s">
        <v>130</v>
      </c>
      <c r="C230" s="10" t="s">
        <v>1897</v>
      </c>
      <c r="D230" s="168" t="s">
        <v>132</v>
      </c>
      <c r="E230" s="89"/>
      <c r="F230" s="89"/>
      <c r="G230" s="89"/>
      <c r="H230" s="89"/>
      <c r="I230" s="89"/>
      <c r="J230" s="89"/>
      <c r="K230" s="10" t="s">
        <v>1904</v>
      </c>
      <c r="L230" s="10" t="str">
        <f t="shared" si="3"/>
        <v>Bürorenovierung, Reinigung, Gebäudemanagement.</v>
      </c>
    </row>
    <row r="231" spans="1:12" ht="27.6">
      <c r="A231" s="14" t="s">
        <v>1697</v>
      </c>
      <c r="B231" s="13" t="s">
        <v>130</v>
      </c>
      <c r="C231" s="10" t="s">
        <v>1905</v>
      </c>
      <c r="D231" s="168" t="s">
        <v>132</v>
      </c>
      <c r="E231" s="89"/>
      <c r="F231" s="89"/>
      <c r="G231" s="89"/>
      <c r="H231" s="89"/>
      <c r="I231" s="89"/>
      <c r="J231" s="89"/>
      <c r="K231" s="10" t="s">
        <v>2274</v>
      </c>
      <c r="L231" s="10" t="str">
        <f t="shared" si="3"/>
        <v>Mitarbeitervorteile/-programme, Schulungen, Beratungsdienstleistungen in HR</v>
      </c>
    </row>
    <row r="232" spans="1:12" ht="41.4">
      <c r="A232" s="14" t="s">
        <v>1697</v>
      </c>
      <c r="B232" s="13" t="s">
        <v>130</v>
      </c>
      <c r="C232" s="10" t="s">
        <v>1913</v>
      </c>
      <c r="D232" s="168" t="s">
        <v>132</v>
      </c>
      <c r="E232" s="89"/>
      <c r="F232" s="89"/>
      <c r="G232" s="89"/>
      <c r="H232" s="89"/>
      <c r="I232" s="89"/>
      <c r="J232" s="89"/>
      <c r="K232" s="10" t="s">
        <v>1920</v>
      </c>
      <c r="L232" s="10" t="str">
        <f t="shared" si="3"/>
        <v>Werbung, Agenturen/Design, Urheberrecht/Übersetzung, Marktforschung, Werbematerialien, PR, Telemarketing</v>
      </c>
    </row>
    <row r="233" spans="1:12">
      <c r="A233" s="14" t="s">
        <v>1697</v>
      </c>
      <c r="B233" s="13" t="s">
        <v>130</v>
      </c>
      <c r="C233" s="10" t="s">
        <v>1921</v>
      </c>
      <c r="D233" s="168" t="s">
        <v>132</v>
      </c>
      <c r="E233" s="89"/>
      <c r="F233" s="89"/>
      <c r="G233" s="89"/>
      <c r="H233" s="89"/>
      <c r="I233" s="89"/>
      <c r="J233" s="89"/>
      <c r="K233" s="10" t="s">
        <v>2275</v>
      </c>
      <c r="L233" s="10" t="str">
        <f t="shared" si="3"/>
        <v>Smartphones/Mobilgeräte</v>
      </c>
    </row>
    <row r="234" spans="1:12" ht="27.6">
      <c r="A234" s="14" t="s">
        <v>1697</v>
      </c>
      <c r="B234" s="13" t="s">
        <v>130</v>
      </c>
      <c r="C234" s="10" t="s">
        <v>1929</v>
      </c>
      <c r="D234" s="168" t="s">
        <v>132</v>
      </c>
      <c r="E234" s="89"/>
      <c r="F234" s="89"/>
      <c r="G234" s="89"/>
      <c r="H234" s="89"/>
      <c r="I234" s="89"/>
      <c r="J234" s="89"/>
      <c r="K234" s="10" t="s">
        <v>1936</v>
      </c>
      <c r="L234" s="10" t="str">
        <f t="shared" si="3"/>
        <v>Herstellung von Druckerzeugnissen und Papiereinkauf</v>
      </c>
    </row>
    <row r="235" spans="1:12">
      <c r="A235" s="14" t="s">
        <v>1697</v>
      </c>
      <c r="B235" s="13" t="s">
        <v>130</v>
      </c>
      <c r="C235" s="10" t="s">
        <v>1937</v>
      </c>
      <c r="D235" s="168" t="s">
        <v>132</v>
      </c>
      <c r="E235" s="89"/>
      <c r="F235" s="89"/>
      <c r="G235" s="89"/>
      <c r="H235" s="89"/>
      <c r="I235" s="89"/>
      <c r="J235" s="89"/>
      <c r="K235" s="10" t="s">
        <v>1944</v>
      </c>
      <c r="L235" s="10" t="str">
        <f t="shared" si="3"/>
        <v>Rechtsberatung, Finanzdienstleistungen</v>
      </c>
    </row>
    <row r="236" spans="1:12" ht="27.6">
      <c r="A236" s="14" t="s">
        <v>1697</v>
      </c>
      <c r="B236" s="13" t="s">
        <v>130</v>
      </c>
      <c r="C236" s="10" t="s">
        <v>1945</v>
      </c>
      <c r="D236" s="168" t="s">
        <v>132</v>
      </c>
      <c r="E236" s="89"/>
      <c r="F236" s="89"/>
      <c r="G236" s="89"/>
      <c r="H236" s="89"/>
      <c r="I236" s="89"/>
      <c r="J236" s="89"/>
      <c r="K236" s="10" t="s">
        <v>1952</v>
      </c>
      <c r="L236" s="10" t="str">
        <f t="shared" si="3"/>
        <v>Software as a Service, Desktop-Software, Server-Software</v>
      </c>
    </row>
    <row r="237" spans="1:12" ht="27.6">
      <c r="A237" s="14" t="s">
        <v>1697</v>
      </c>
      <c r="B237" s="13" t="s">
        <v>130</v>
      </c>
      <c r="C237" s="10" t="s">
        <v>1953</v>
      </c>
      <c r="D237" s="168" t="s">
        <v>132</v>
      </c>
      <c r="E237" s="89"/>
      <c r="F237" s="89"/>
      <c r="G237" s="89"/>
      <c r="H237" s="89"/>
      <c r="I237" s="89"/>
      <c r="J237" s="89"/>
      <c r="K237" s="10" t="s">
        <v>1960</v>
      </c>
      <c r="L237" s="10" t="str">
        <f t="shared" si="3"/>
        <v>Computer, Server, Drucker, Monitore, Peripheriegeräte</v>
      </c>
    </row>
    <row r="238" spans="1:12">
      <c r="A238" s="14" t="s">
        <v>1697</v>
      </c>
      <c r="B238" s="13" t="s">
        <v>130</v>
      </c>
      <c r="C238" s="10" t="s">
        <v>1961</v>
      </c>
      <c r="D238" s="168" t="s">
        <v>132</v>
      </c>
      <c r="E238" s="89"/>
      <c r="F238" s="89"/>
      <c r="G238" s="89"/>
      <c r="H238" s="89"/>
      <c r="I238" s="89"/>
      <c r="J238" s="89"/>
      <c r="K238" s="10" t="s">
        <v>1968</v>
      </c>
      <c r="L238" s="10" t="str">
        <f t="shared" si="3"/>
        <v>Über Drittanbieter erworbene Technologie</v>
      </c>
    </row>
    <row r="239" spans="1:12" ht="27.6">
      <c r="A239" s="14" t="s">
        <v>1697</v>
      </c>
      <c r="B239" s="13" t="s">
        <v>130</v>
      </c>
      <c r="C239" s="10" t="s">
        <v>1969</v>
      </c>
      <c r="D239" s="168" t="s">
        <v>132</v>
      </c>
      <c r="E239" s="89"/>
      <c r="F239" s="89"/>
      <c r="G239" s="89"/>
      <c r="H239" s="89"/>
      <c r="I239" s="89"/>
      <c r="J239" s="89"/>
      <c r="K239" s="10" t="s">
        <v>2276</v>
      </c>
      <c r="L239" s="10" t="str">
        <f t="shared" si="3"/>
        <v>Anbieter von technologiebasierten Dienstleistungen</v>
      </c>
    </row>
    <row r="240" spans="1:12" ht="27.6">
      <c r="A240" s="14" t="s">
        <v>1697</v>
      </c>
      <c r="B240" s="13" t="s">
        <v>130</v>
      </c>
      <c r="C240" s="10" t="s">
        <v>1977</v>
      </c>
      <c r="D240" s="168" t="s">
        <v>132</v>
      </c>
      <c r="E240" s="89"/>
      <c r="F240" s="89"/>
      <c r="G240" s="89"/>
      <c r="H240" s="89"/>
      <c r="I240" s="89"/>
      <c r="J240" s="89"/>
      <c r="K240" s="10" t="s">
        <v>2277</v>
      </c>
      <c r="L240" s="10" t="str">
        <f t="shared" si="3"/>
        <v>Telekommunikationsdienste und Telekommunikationsprodukte</v>
      </c>
    </row>
    <row r="241" spans="1:12" ht="27.6">
      <c r="A241" s="14" t="s">
        <v>1697</v>
      </c>
      <c r="B241" s="13" t="s">
        <v>130</v>
      </c>
      <c r="C241" s="10" t="s">
        <v>1985</v>
      </c>
      <c r="D241" s="168" t="s">
        <v>132</v>
      </c>
      <c r="E241" s="89"/>
      <c r="F241" s="89"/>
      <c r="G241" s="89"/>
      <c r="H241" s="89"/>
      <c r="I241" s="89"/>
      <c r="J241" s="89"/>
      <c r="K241" s="10" t="s">
        <v>2278</v>
      </c>
      <c r="L241" s="10" t="str">
        <f t="shared" si="3"/>
        <v>Anbieter von Tagungen, Ausstellungen sowie Reisedienstleister</v>
      </c>
    </row>
    <row r="242" spans="1:12" ht="27.6">
      <c r="A242" s="14" t="s">
        <v>1697</v>
      </c>
      <c r="B242" s="13" t="s">
        <v>130</v>
      </c>
      <c r="C242" s="10" t="s">
        <v>1993</v>
      </c>
      <c r="D242" s="168" t="s">
        <v>132</v>
      </c>
      <c r="E242" s="89"/>
      <c r="F242" s="89"/>
      <c r="G242" s="89"/>
      <c r="H242" s="89"/>
      <c r="I242" s="89"/>
      <c r="J242" s="89"/>
      <c r="K242" s="10" t="s">
        <v>2279</v>
      </c>
      <c r="L242" s="10" t="str">
        <f t="shared" si="3"/>
        <v>Recruiting, Anbieter von Leiharbeitskräften</v>
      </c>
    </row>
    <row r="243" spans="1:12">
      <c r="A243" s="254" t="s">
        <v>1112</v>
      </c>
      <c r="B243" s="13" t="s">
        <v>130</v>
      </c>
      <c r="C243" s="256" t="s">
        <v>2001</v>
      </c>
      <c r="D243" s="168" t="s">
        <v>132</v>
      </c>
      <c r="K243" s="10" t="s">
        <v>2280</v>
      </c>
      <c r="L243" s="10" t="str">
        <f t="shared" si="3"/>
        <v>Konferenzen/Ausstellungen</v>
      </c>
    </row>
    <row r="244" spans="1:12">
      <c r="A244" s="254" t="s">
        <v>1112</v>
      </c>
      <c r="B244" s="13" t="s">
        <v>130</v>
      </c>
      <c r="C244" s="256" t="s">
        <v>2009</v>
      </c>
      <c r="D244" s="168" t="s">
        <v>132</v>
      </c>
      <c r="K244" s="10" t="s">
        <v>2281</v>
      </c>
      <c r="L244" s="10" t="str">
        <f t="shared" si="3"/>
        <v>Spenden/Sponsoring</v>
      </c>
    </row>
    <row r="245" spans="1:12">
      <c r="A245" s="254" t="s">
        <v>1112</v>
      </c>
      <c r="B245" s="13" t="s">
        <v>130</v>
      </c>
      <c r="C245" s="256" t="s">
        <v>2017</v>
      </c>
      <c r="D245" s="168" t="s">
        <v>132</v>
      </c>
      <c r="K245" s="10" t="s">
        <v>2282</v>
      </c>
      <c r="L245" s="10" t="str">
        <f t="shared" si="3"/>
        <v>Regierung/Steuern</v>
      </c>
    </row>
    <row r="246" spans="1:12">
      <c r="A246" s="254" t="s">
        <v>1112</v>
      </c>
      <c r="B246" s="13" t="s">
        <v>130</v>
      </c>
      <c r="C246" s="256" t="s">
        <v>2025</v>
      </c>
      <c r="D246" s="168" t="s">
        <v>132</v>
      </c>
      <c r="K246" s="10" t="s">
        <v>2283</v>
      </c>
      <c r="L246" s="10" t="str">
        <f t="shared" si="3"/>
        <v>Konzernverrechnung (Intercompany)</v>
      </c>
    </row>
    <row r="247" spans="1:12">
      <c r="A247" s="254" t="s">
        <v>1112</v>
      </c>
      <c r="B247" s="13" t="s">
        <v>130</v>
      </c>
      <c r="C247" s="256" t="s">
        <v>2033</v>
      </c>
      <c r="D247" s="168" t="s">
        <v>132</v>
      </c>
      <c r="K247" s="10" t="s">
        <v>2284</v>
      </c>
      <c r="L247" s="10" t="str">
        <f t="shared" si="3"/>
        <v>Immobilien</v>
      </c>
    </row>
    <row r="248" spans="1:12">
      <c r="A248" s="254" t="s">
        <v>1112</v>
      </c>
      <c r="B248" s="13" t="s">
        <v>130</v>
      </c>
      <c r="C248" s="256" t="s">
        <v>2041</v>
      </c>
      <c r="D248" s="168" t="s">
        <v>132</v>
      </c>
      <c r="K248" s="10" t="s">
        <v>2048</v>
      </c>
      <c r="L248" s="10" t="str">
        <f t="shared" si="3"/>
        <v>Banken und Finanzen</v>
      </c>
    </row>
    <row r="249" spans="1:12">
      <c r="A249" s="254" t="s">
        <v>1112</v>
      </c>
      <c r="B249" s="13" t="s">
        <v>130</v>
      </c>
      <c r="C249" s="256" t="s">
        <v>2049</v>
      </c>
      <c r="D249" s="168" t="s">
        <v>132</v>
      </c>
      <c r="K249" s="10" t="s">
        <v>2285</v>
      </c>
      <c r="L249" s="10" t="str">
        <f t="shared" si="3"/>
        <v>sonstige Unternehmen</v>
      </c>
    </row>
    <row r="250" spans="1:12">
      <c r="A250" s="254" t="s">
        <v>1112</v>
      </c>
      <c r="B250" s="13" t="s">
        <v>130</v>
      </c>
      <c r="C250" s="256" t="s">
        <v>2057</v>
      </c>
      <c r="D250" s="168" t="s">
        <v>132</v>
      </c>
      <c r="K250" s="10" t="s">
        <v>2062</v>
      </c>
      <c r="L250" s="10" t="str">
        <f t="shared" si="3"/>
        <v>Abonnement</v>
      </c>
    </row>
    <row r="251" spans="1:12" ht="27.6">
      <c r="A251" s="14" t="s">
        <v>2064</v>
      </c>
      <c r="B251" s="13" t="s">
        <v>130</v>
      </c>
      <c r="C251" s="10" t="s">
        <v>2065</v>
      </c>
      <c r="D251" s="168" t="s">
        <v>132</v>
      </c>
      <c r="K251" s="10" t="s">
        <v>2286</v>
      </c>
      <c r="L251" s="10" t="str">
        <f t="shared" si="3"/>
        <v>UID Nummer (wenn Sie keine besitzen, dann bitte leer lassen)</v>
      </c>
    </row>
    <row r="252" spans="1:12" ht="41.4">
      <c r="A252" s="14" t="s">
        <v>2067</v>
      </c>
      <c r="B252" s="13" t="s">
        <v>130</v>
      </c>
      <c r="C252" s="10" t="s">
        <v>2068</v>
      </c>
      <c r="D252" s="116" t="s">
        <v>132</v>
      </c>
      <c r="K252" s="10" t="s">
        <v>2287</v>
      </c>
      <c r="L252" s="10" t="str">
        <f t="shared" si="3"/>
        <v>Gibt es eine unterzeichnete Vereinbarung hinsichtlich der Zahlungsbedingungen des Lieferanten? (Gilt nicht für Autoren)</v>
      </c>
    </row>
    <row r="253" spans="1:12" ht="27.6">
      <c r="A253" s="14" t="s">
        <v>2288</v>
      </c>
      <c r="B253" s="12" t="s">
        <v>130</v>
      </c>
      <c r="C253" s="10" t="s">
        <v>2289</v>
      </c>
      <c r="D253" s="109" t="s">
        <v>132</v>
      </c>
      <c r="K253" s="10" t="s">
        <v>2290</v>
      </c>
      <c r="L253" s="10" t="str">
        <f t="shared" si="3"/>
        <v>Wenn sich nur die Adresse ändert, fahren Sie bitte mit Zeile 81 fort.</v>
      </c>
    </row>
    <row r="254" spans="1:12">
      <c r="A254" s="14" t="s">
        <v>2291</v>
      </c>
      <c r="B254" s="12" t="s">
        <v>130</v>
      </c>
      <c r="C254" s="10" t="s">
        <v>12</v>
      </c>
      <c r="D254" s="109" t="s">
        <v>132</v>
      </c>
      <c r="K254" s="10" t="s">
        <v>2180</v>
      </c>
      <c r="L254" s="10" t="str">
        <f t="shared" si="3"/>
        <v>Wählen Sie ein Land…</v>
      </c>
    </row>
    <row r="255" spans="1:12">
      <c r="A255" s="14" t="s">
        <v>2076</v>
      </c>
      <c r="B255" s="12" t="s">
        <v>130</v>
      </c>
      <c r="C255" s="10" t="s">
        <v>2077</v>
      </c>
      <c r="D255" s="109" t="s">
        <v>132</v>
      </c>
      <c r="K255" s="10" t="s">
        <v>2083</v>
      </c>
      <c r="L255" s="10" t="str">
        <f t="shared" si="3"/>
        <v>E-Mail-Adresse</v>
      </c>
    </row>
  </sheetData>
  <sheetProtection algorithmName="SHA-512" hashValue="k0/PpP1AICiZhgjQ75K6RfFYvZAbZYZ1dSMT+29IMRiT4FwIulqhLPaELI/MXqJKf4TuCHFlVYrTIW0TfXR4eg==" saltValue="l7DQfGH0qRhkMV2XWSbU2Q==" spinCount="100000" sheet="1" objects="1" scenarios="1"/>
  <mergeCells count="1">
    <mergeCell ref="A1:C1"/>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8EB1EE-8595-4DE5-BCA4-0C4AF78C9670}">
  <sheetPr codeName="Sheet8"/>
  <dimension ref="A1:S99"/>
  <sheetViews>
    <sheetView showGridLines="0" zoomScaleNormal="100" workbookViewId="0">
      <selection sqref="A1:L1"/>
    </sheetView>
  </sheetViews>
  <sheetFormatPr baseColWidth="10" defaultColWidth="9.109375" defaultRowHeight="14.4"/>
  <cols>
    <col min="1" max="1" width="2.88671875" style="2" customWidth="1"/>
    <col min="2" max="3" width="9.88671875" style="1" customWidth="1"/>
    <col min="4" max="4" width="10.109375" style="1" customWidth="1"/>
    <col min="5" max="5" width="9.88671875" style="1" customWidth="1"/>
    <col min="6" max="6" width="10.109375" style="1" customWidth="1"/>
    <col min="7" max="7" width="2.88671875" style="1" customWidth="1"/>
    <col min="8" max="8" width="8.88671875" style="1" customWidth="1"/>
    <col min="9" max="9" width="10.88671875" style="1" customWidth="1"/>
    <col min="10" max="10" width="10.44140625" style="1" customWidth="1"/>
    <col min="11" max="11" width="12.88671875" style="1" customWidth="1"/>
    <col min="12" max="12" width="1.88671875" style="1" customWidth="1"/>
    <col min="13" max="13" width="4.88671875" style="1" hidden="1" customWidth="1"/>
    <col min="14" max="16384" width="9.109375" style="1"/>
  </cols>
  <sheetData>
    <row r="1" spans="1:14" ht="69.75" customHeight="1">
      <c r="A1" s="506"/>
      <c r="B1" s="507"/>
      <c r="C1" s="507"/>
      <c r="D1" s="507"/>
      <c r="E1" s="507"/>
      <c r="F1" s="507"/>
      <c r="G1" s="507"/>
      <c r="H1" s="507"/>
      <c r="I1" s="507"/>
      <c r="J1" s="507"/>
      <c r="K1" s="507"/>
      <c r="L1" s="508"/>
      <c r="M1" s="1" t="s">
        <v>0</v>
      </c>
    </row>
    <row r="2" spans="1:14" ht="54" customHeight="1">
      <c r="A2" s="509" t="str">
        <f>Languages!L10</f>
        <v>GLOBAL ACCOUNTS PAYABLE ENROLLMENT FORM</v>
      </c>
      <c r="B2" s="510"/>
      <c r="C2" s="510"/>
      <c r="D2" s="510"/>
      <c r="E2" s="510"/>
      <c r="F2" s="510"/>
      <c r="G2" s="510"/>
      <c r="H2" s="510"/>
      <c r="I2" s="510"/>
      <c r="J2" s="510"/>
      <c r="K2" s="510"/>
      <c r="L2" s="511"/>
      <c r="M2" s="1" t="s">
        <v>0</v>
      </c>
    </row>
    <row r="3" spans="1:14" ht="17.100000000000001" customHeight="1" thickBot="1">
      <c r="A3" s="518" t="s">
        <v>2292</v>
      </c>
      <c r="B3" s="519"/>
      <c r="C3" s="519"/>
      <c r="D3" s="519"/>
      <c r="E3" s="519"/>
      <c r="F3" s="519"/>
      <c r="G3" s="519"/>
      <c r="H3" s="519"/>
      <c r="I3" s="519"/>
      <c r="J3" s="519"/>
      <c r="K3" s="519"/>
      <c r="L3" s="165"/>
      <c r="M3" s="1" t="s">
        <v>0</v>
      </c>
    </row>
    <row r="4" spans="1:14" ht="18.600000000000001" thickBot="1">
      <c r="A4" s="120"/>
      <c r="B4" s="504" t="str">
        <f>Languages!L3</f>
        <v>Language</v>
      </c>
      <c r="C4" s="504"/>
      <c r="D4" s="505"/>
      <c r="E4" s="332" t="s">
        <v>120</v>
      </c>
      <c r="F4" s="333"/>
      <c r="G4" s="333"/>
      <c r="H4" s="333"/>
      <c r="I4" s="333"/>
      <c r="J4" s="333"/>
      <c r="K4" s="333"/>
      <c r="L4" s="164"/>
      <c r="M4" s="1" t="s">
        <v>0</v>
      </c>
    </row>
    <row r="5" spans="1:14" s="2" customFormat="1" ht="57" customHeight="1" thickBot="1">
      <c r="A5" s="84" t="s">
        <v>3</v>
      </c>
      <c r="B5" s="375" t="str">
        <f>Languages!L11</f>
        <v>No invoices or royalty payments will be paid prior to receipt of completed forms and validation callback.</v>
      </c>
      <c r="C5" s="375"/>
      <c r="D5" s="375"/>
      <c r="E5" s="375"/>
      <c r="F5" s="375"/>
      <c r="G5" s="375"/>
      <c r="H5" s="375"/>
      <c r="I5" s="375"/>
      <c r="J5" s="375"/>
      <c r="K5" s="375"/>
      <c r="L5" s="95"/>
      <c r="M5" s="2" t="s">
        <v>0</v>
      </c>
    </row>
    <row r="6" spans="1:14" s="2" customFormat="1" ht="42.6" customHeight="1" thickBot="1">
      <c r="A6" s="388" t="str">
        <f>Languages!L12</f>
        <v>For internal use by LexisNexis Legal &amp; Professional and RELX</v>
      </c>
      <c r="B6" s="389"/>
      <c r="C6" s="389"/>
      <c r="D6" s="389"/>
      <c r="E6" s="389"/>
      <c r="F6" s="389"/>
      <c r="G6" s="389"/>
      <c r="H6" s="389"/>
      <c r="I6" s="389"/>
      <c r="J6" s="389"/>
      <c r="K6" s="389"/>
      <c r="L6" s="390"/>
      <c r="M6" s="2" t="s">
        <v>0</v>
      </c>
    </row>
    <row r="7" spans="1:14" s="2" customFormat="1" ht="45.75" customHeight="1" thickBot="1">
      <c r="A7" s="161"/>
      <c r="B7" s="378" t="str">
        <f>Languages!L6</f>
        <v>Please complete ALL required fields in this section and forward to your supplier contact for completion.</v>
      </c>
      <c r="C7" s="378"/>
      <c r="D7" s="378"/>
      <c r="E7" s="378"/>
      <c r="F7" s="378"/>
      <c r="G7" s="378"/>
      <c r="H7" s="378"/>
      <c r="I7" s="162" t="s">
        <v>4</v>
      </c>
      <c r="J7" s="379" t="str">
        <f>Languages!L9</f>
        <v>Required Field</v>
      </c>
      <c r="K7" s="379"/>
      <c r="L7" s="163"/>
      <c r="M7" s="2" t="s">
        <v>0</v>
      </c>
    </row>
    <row r="8" spans="1:14" s="2" customFormat="1" ht="25.5" customHeight="1">
      <c r="A8" s="120" t="s">
        <v>0</v>
      </c>
      <c r="B8" s="514" t="str">
        <f>Languages!L13</f>
        <v>Request Date</v>
      </c>
      <c r="C8" s="515"/>
      <c r="D8" s="515"/>
      <c r="E8" s="380"/>
      <c r="F8" s="381"/>
      <c r="G8" s="381"/>
      <c r="H8" s="381"/>
      <c r="I8" s="381"/>
      <c r="J8" s="381"/>
      <c r="K8" s="381"/>
      <c r="L8" s="382"/>
      <c r="M8" s="2" t="str">
        <f>A8</f>
        <v>*</v>
      </c>
    </row>
    <row r="9" spans="1:14" s="2" customFormat="1" ht="27.6" customHeight="1">
      <c r="A9" s="49" t="s">
        <v>0</v>
      </c>
      <c r="B9" s="281" t="str">
        <f>Languages!L14</f>
        <v>Request Reason</v>
      </c>
      <c r="C9" s="281"/>
      <c r="D9" s="282"/>
      <c r="E9" s="376" t="s">
        <v>2</v>
      </c>
      <c r="F9" s="377"/>
      <c r="G9" s="377"/>
      <c r="H9" s="377"/>
      <c r="I9" s="377"/>
      <c r="J9" s="377"/>
      <c r="K9" s="377"/>
      <c r="L9" s="45"/>
      <c r="M9" s="2" t="str">
        <f>A9</f>
        <v>*</v>
      </c>
    </row>
    <row r="10" spans="1:14" s="2" customFormat="1" ht="36.9" customHeight="1">
      <c r="A10" s="393" t="str">
        <f>IF(B10&gt;"","*","")</f>
        <v/>
      </c>
      <c r="B10" s="353" t="str">
        <f>IF(OR(E9=Languages!L112,E9=Languages!L113),Languages!L15,"")</f>
        <v/>
      </c>
      <c r="C10" s="354"/>
      <c r="D10" s="354"/>
      <c r="E10" s="331" t="str">
        <f>IF(B10&gt;" ",Languages!L16,"")</f>
        <v/>
      </c>
      <c r="F10" s="331"/>
      <c r="G10" s="331"/>
      <c r="H10" s="331"/>
      <c r="I10" s="385" t="str">
        <f>IF(B10&gt;" ",Languages!L17,"")</f>
        <v/>
      </c>
      <c r="J10" s="386"/>
      <c r="K10" s="386"/>
      <c r="L10" s="387"/>
      <c r="M10" s="2" t="str">
        <f>A10</f>
        <v/>
      </c>
    </row>
    <row r="11" spans="1:14" s="2" customFormat="1" ht="52.5" customHeight="1">
      <c r="A11" s="393"/>
      <c r="B11" s="516" t="str">
        <f>IF(B10&gt;" ",Languages!L18,"")</f>
        <v/>
      </c>
      <c r="C11" s="517"/>
      <c r="D11" s="517"/>
      <c r="E11" s="352"/>
      <c r="F11" s="352"/>
      <c r="G11" s="352"/>
      <c r="H11" s="352"/>
      <c r="I11" s="355"/>
      <c r="J11" s="356"/>
      <c r="K11" s="356"/>
      <c r="L11" s="357"/>
      <c r="M11" s="2" t="str">
        <f>A10</f>
        <v/>
      </c>
      <c r="N11" s="137"/>
    </row>
    <row r="12" spans="1:14" s="2" customFormat="1" ht="28.5" customHeight="1">
      <c r="A12" s="49" t="str">
        <f>IF(B12&gt;"","*","")</f>
        <v/>
      </c>
      <c r="B12" s="353" t="str">
        <f>IF(E9=Languages!L112,Languages!L19,"")</f>
        <v/>
      </c>
      <c r="C12" s="354"/>
      <c r="D12" s="354"/>
      <c r="E12" s="361" t="s">
        <v>2</v>
      </c>
      <c r="F12" s="362"/>
      <c r="G12" s="362"/>
      <c r="H12" s="362"/>
      <c r="I12" s="362"/>
      <c r="J12" s="362"/>
      <c r="K12" s="362"/>
      <c r="L12" s="44"/>
      <c r="M12" s="2" t="str">
        <f>A10</f>
        <v/>
      </c>
      <c r="N12" s="137"/>
    </row>
    <row r="13" spans="1:14" s="2" customFormat="1" ht="28.5" customHeight="1">
      <c r="A13" s="49" t="str">
        <f>IF(B13&gt;"","*","")</f>
        <v/>
      </c>
      <c r="B13" s="353" t="str">
        <f>IF(E12=Languages!L114,Languages!L20,"")</f>
        <v/>
      </c>
      <c r="C13" s="354"/>
      <c r="D13" s="354"/>
      <c r="E13" s="358"/>
      <c r="F13" s="359"/>
      <c r="G13" s="359"/>
      <c r="H13" s="359"/>
      <c r="I13" s="359"/>
      <c r="J13" s="359"/>
      <c r="K13" s="359"/>
      <c r="L13" s="360"/>
      <c r="N13" s="137"/>
    </row>
    <row r="14" spans="1:14" s="2" customFormat="1" ht="28.5" customHeight="1">
      <c r="A14" s="49" t="s">
        <v>0</v>
      </c>
      <c r="B14" s="281" t="str">
        <f>Languages!L27</f>
        <v>Business Division</v>
      </c>
      <c r="C14" s="281"/>
      <c r="D14" s="282"/>
      <c r="E14" s="376" t="s">
        <v>2</v>
      </c>
      <c r="F14" s="377"/>
      <c r="G14" s="377"/>
      <c r="H14" s="377"/>
      <c r="I14" s="377"/>
      <c r="J14" s="377"/>
      <c r="K14" s="377"/>
      <c r="L14" s="45"/>
      <c r="M14" s="2" t="str">
        <f>A14</f>
        <v>*</v>
      </c>
    </row>
    <row r="15" spans="1:14" s="2" customFormat="1" ht="27" customHeight="1">
      <c r="A15" s="122" t="s">
        <v>0</v>
      </c>
      <c r="B15" s="367" t="str">
        <f>Languages!L28</f>
        <v>Business Region</v>
      </c>
      <c r="C15" s="367"/>
      <c r="D15" s="368"/>
      <c r="E15" s="365" t="s">
        <v>2293</v>
      </c>
      <c r="F15" s="365"/>
      <c r="G15" s="365"/>
      <c r="H15" s="365"/>
      <c r="I15" s="365"/>
      <c r="J15" s="365"/>
      <c r="K15" s="366"/>
      <c r="L15" s="45"/>
      <c r="M15" s="2" t="str">
        <f>A15</f>
        <v>*</v>
      </c>
    </row>
    <row r="16" spans="1:14" s="2" customFormat="1" ht="27" customHeight="1">
      <c r="A16" s="122" t="s">
        <v>0</v>
      </c>
      <c r="B16" s="279" t="str">
        <f>Languages!L183</f>
        <v>Procurement BU</v>
      </c>
      <c r="C16" s="279"/>
      <c r="D16" s="280"/>
      <c r="E16" s="363" t="s">
        <v>2294</v>
      </c>
      <c r="F16" s="364"/>
      <c r="G16" s="364"/>
      <c r="H16" s="364"/>
      <c r="I16" s="364"/>
      <c r="J16" s="364"/>
      <c r="K16" s="364"/>
      <c r="L16" s="45"/>
      <c r="M16" s="2" t="str">
        <f>A16</f>
        <v>*</v>
      </c>
    </row>
    <row r="17" spans="1:13" s="2" customFormat="1" ht="30" customHeight="1">
      <c r="A17" s="49" t="s">
        <v>0</v>
      </c>
      <c r="B17" s="279" t="str">
        <f>Languages!L21</f>
        <v>Supplier Type</v>
      </c>
      <c r="C17" s="280"/>
      <c r="D17" s="369" t="s">
        <v>2</v>
      </c>
      <c r="E17" s="370"/>
      <c r="F17" s="370"/>
      <c r="G17" s="370"/>
      <c r="H17" s="370"/>
      <c r="I17" s="370"/>
      <c r="J17" s="370"/>
      <c r="K17" s="370"/>
      <c r="L17" s="44"/>
      <c r="M17" s="2" t="str">
        <f t="shared" ref="M17:M19" si="0">A17</f>
        <v>*</v>
      </c>
    </row>
    <row r="18" spans="1:13" s="2" customFormat="1" ht="36.6" customHeight="1">
      <c r="A18" s="49" t="s">
        <v>0</v>
      </c>
      <c r="B18" s="282" t="str">
        <f>Languages!L25</f>
        <v>Requester Name</v>
      </c>
      <c r="C18" s="307"/>
      <c r="D18" s="307"/>
      <c r="E18" s="285"/>
      <c r="F18" s="286"/>
      <c r="G18" s="286"/>
      <c r="H18" s="286"/>
      <c r="I18" s="286"/>
      <c r="J18" s="286"/>
      <c r="K18" s="286"/>
      <c r="L18" s="305"/>
      <c r="M18" s="2" t="str">
        <f t="shared" si="0"/>
        <v>*</v>
      </c>
    </row>
    <row r="19" spans="1:13" s="2" customFormat="1" ht="39" customHeight="1">
      <c r="A19" s="49" t="s">
        <v>0</v>
      </c>
      <c r="B19" s="282" t="str">
        <f>Languages!L26</f>
        <v>Requester Email Address</v>
      </c>
      <c r="C19" s="307"/>
      <c r="D19" s="307"/>
      <c r="E19" s="285"/>
      <c r="F19" s="286"/>
      <c r="G19" s="286"/>
      <c r="H19" s="286"/>
      <c r="I19" s="286"/>
      <c r="J19" s="286"/>
      <c r="K19" s="286"/>
      <c r="L19" s="305"/>
      <c r="M19" s="2" t="str">
        <f t="shared" si="0"/>
        <v>*</v>
      </c>
    </row>
    <row r="20" spans="1:13" s="2" customFormat="1" ht="72.75" customHeight="1">
      <c r="A20" s="122" t="s">
        <v>0</v>
      </c>
      <c r="B20" s="488" t="str">
        <f>Languages!L29</f>
        <v>Pay Method</v>
      </c>
      <c r="C20" s="488"/>
      <c r="D20" s="353"/>
      <c r="E20" s="495" t="str">
        <f>Languages!L30</f>
        <v>RELX standard payment method is Electronic. For any exceptions, email ap.globalvendormaintenance@lexisnexis.com for pre-approval.</v>
      </c>
      <c r="F20" s="496"/>
      <c r="G20" s="496"/>
      <c r="H20" s="496"/>
      <c r="I20" s="496"/>
      <c r="J20" s="496"/>
      <c r="K20" s="496"/>
      <c r="L20" s="45"/>
      <c r="M20" s="2" t="str">
        <f>A20</f>
        <v>*</v>
      </c>
    </row>
    <row r="21" spans="1:13" s="2" customFormat="1" ht="40.5" customHeight="1">
      <c r="A21" s="122" t="str">
        <f>IF(B21&gt;"","*","")</f>
        <v>*</v>
      </c>
      <c r="B21" s="280" t="str">
        <f>IF(suppaytype&lt;&gt;Languages!L131,Languages!L31,"")</f>
        <v>Is there a signed agreement in place stating the Supplier payment terms? (Not applicable for Authors)</v>
      </c>
      <c r="C21" s="446"/>
      <c r="D21" s="446"/>
      <c r="E21" s="446"/>
      <c r="F21" s="446"/>
      <c r="G21" s="446"/>
      <c r="H21" s="446"/>
      <c r="I21" s="446"/>
      <c r="J21" s="479" t="s">
        <v>8</v>
      </c>
      <c r="K21" s="297"/>
      <c r="L21" s="167"/>
      <c r="M21" s="2" t="str">
        <f>A21</f>
        <v>*</v>
      </c>
    </row>
    <row r="22" spans="1:13" s="2" customFormat="1" ht="45.75" customHeight="1">
      <c r="A22" s="122" t="str">
        <f>IF(B22&gt;"","*","")</f>
        <v>*</v>
      </c>
      <c r="B22" s="488" t="str">
        <f>IF(Conditions!AL1&gt;0,"",Languages!L32)</f>
        <v>Payment Terms</v>
      </c>
      <c r="C22" s="488"/>
      <c r="D22" s="353"/>
      <c r="E22" s="495" t="str">
        <f>Languages!L256</f>
        <v>RELX standard payment terms are NET 30 Days.</v>
      </c>
      <c r="F22" s="496"/>
      <c r="G22" s="496"/>
      <c r="H22" s="496"/>
      <c r="I22" s="496"/>
      <c r="J22" s="496"/>
      <c r="K22" s="496"/>
      <c r="L22" s="45"/>
      <c r="M22" s="2" t="str">
        <f>A22</f>
        <v>*</v>
      </c>
    </row>
    <row r="23" spans="1:13" s="2" customFormat="1" ht="69" customHeight="1">
      <c r="A23" s="122" t="str">
        <f>IF(B23&gt;"","*","")</f>
        <v/>
      </c>
      <c r="B23" s="491" t="str">
        <f>IF(J21='Drop Down Lists'!A2,Languages!L34,"")</f>
        <v/>
      </c>
      <c r="C23" s="492"/>
      <c r="D23" s="492"/>
      <c r="E23" s="492"/>
      <c r="F23" s="492"/>
      <c r="G23" s="492"/>
      <c r="H23" s="492"/>
      <c r="I23" s="492"/>
      <c r="J23" s="493"/>
      <c r="K23" s="494"/>
      <c r="L23" s="45"/>
      <c r="M23" s="2" t="str">
        <f>A23</f>
        <v/>
      </c>
    </row>
    <row r="24" spans="1:13" s="2" customFormat="1" ht="39" customHeight="1">
      <c r="A24" s="49" t="str">
        <f>IF(B24&gt;"","*","")</f>
        <v/>
      </c>
      <c r="B24" s="282" t="str">
        <f>IF(E9=Languages!L111,Languages!L35,"")</f>
        <v/>
      </c>
      <c r="C24" s="307"/>
      <c r="D24" s="307"/>
      <c r="E24" s="321"/>
      <c r="F24" s="322"/>
      <c r="G24" s="322"/>
      <c r="H24" s="322"/>
      <c r="I24" s="322"/>
      <c r="J24" s="322"/>
      <c r="K24" s="322"/>
      <c r="L24" s="323"/>
      <c r="M24" s="2" t="str">
        <f t="shared" ref="M24:M32" si="1">A24</f>
        <v/>
      </c>
    </row>
    <row r="25" spans="1:13" s="2" customFormat="1" ht="39" customHeight="1">
      <c r="A25" s="122" t="s">
        <v>0</v>
      </c>
      <c r="B25" s="279" t="str">
        <f>Languages!L257</f>
        <v>Estimated annual spend with supplier (ZAR):</v>
      </c>
      <c r="C25" s="279"/>
      <c r="D25" s="279"/>
      <c r="E25" s="279"/>
      <c r="F25" s="279"/>
      <c r="G25" s="280"/>
      <c r="H25" s="473" t="s">
        <v>2</v>
      </c>
      <c r="I25" s="474"/>
      <c r="J25" s="474"/>
      <c r="K25" s="474"/>
      <c r="L25" s="166"/>
      <c r="M25" s="2" t="str">
        <f t="shared" si="1"/>
        <v>*</v>
      </c>
    </row>
    <row r="26" spans="1:13" s="2" customFormat="1" ht="46.5" customHeight="1">
      <c r="A26" s="122" t="s">
        <v>0</v>
      </c>
      <c r="B26" s="279" t="str">
        <f>Languages!L179</f>
        <v>Do you believe this supplier is or will soon become one of the topmost 1% of critical suppliers from a business resiliency perspective for your RELX Business Area (RELX Corp, Elsevier, LNLP, Risk, or RX)?</v>
      </c>
      <c r="C26" s="279"/>
      <c r="D26" s="279"/>
      <c r="E26" s="279"/>
      <c r="F26" s="279"/>
      <c r="G26" s="279"/>
      <c r="H26" s="279"/>
      <c r="I26" s="280"/>
      <c r="J26" s="479" t="s">
        <v>8</v>
      </c>
      <c r="K26" s="297"/>
      <c r="L26" s="166"/>
      <c r="M26" s="2" t="str">
        <f t="shared" si="1"/>
        <v>*</v>
      </c>
    </row>
    <row r="27" spans="1:13" s="2" customFormat="1" ht="39" customHeight="1">
      <c r="A27" s="122" t="s">
        <v>0</v>
      </c>
      <c r="B27" s="279" t="str">
        <f>Languages!L180</f>
        <v>Will initial term with supplier be one year or less?</v>
      </c>
      <c r="C27" s="279"/>
      <c r="D27" s="279"/>
      <c r="E27" s="279"/>
      <c r="F27" s="279"/>
      <c r="G27" s="279"/>
      <c r="H27" s="279"/>
      <c r="I27" s="280"/>
      <c r="J27" s="479" t="s">
        <v>8</v>
      </c>
      <c r="K27" s="297"/>
      <c r="L27" s="166"/>
      <c r="M27" s="2" t="str">
        <f t="shared" si="1"/>
        <v>*</v>
      </c>
    </row>
    <row r="28" spans="1:13" s="2" customFormat="1" ht="39" customHeight="1">
      <c r="A28" s="122" t="s">
        <v>0</v>
      </c>
      <c r="B28" s="279" t="str">
        <f>Languages!L181</f>
        <v>Is a contract on file with this supplier?</v>
      </c>
      <c r="C28" s="279"/>
      <c r="D28" s="279"/>
      <c r="E28" s="279"/>
      <c r="F28" s="279"/>
      <c r="G28" s="279"/>
      <c r="H28" s="279"/>
      <c r="I28" s="280"/>
      <c r="J28" s="479" t="s">
        <v>2</v>
      </c>
      <c r="K28" s="297"/>
      <c r="L28" s="166"/>
      <c r="M28" s="2" t="str">
        <f t="shared" si="1"/>
        <v>*</v>
      </c>
    </row>
    <row r="29" spans="1:13" s="2" customFormat="1" ht="39" customHeight="1">
      <c r="A29" s="49" t="str">
        <f>IF(B29&gt;"","*","")</f>
        <v>*</v>
      </c>
      <c r="B29" s="281" t="str">
        <f>IF(Conditions!AI1=0,Languages!L254,"")</f>
        <v>Is there a signed agreement in place stating the Supplier payment terms? (Not applicable to Authors)</v>
      </c>
      <c r="C29" s="281"/>
      <c r="D29" s="281"/>
      <c r="E29" s="281"/>
      <c r="F29" s="281"/>
      <c r="G29" s="281"/>
      <c r="H29" s="281"/>
      <c r="I29" s="282"/>
      <c r="J29" s="479" t="s">
        <v>8</v>
      </c>
      <c r="K29" s="297"/>
      <c r="L29" s="45"/>
      <c r="M29" s="2" t="str">
        <f t="shared" si="1"/>
        <v>*</v>
      </c>
    </row>
    <row r="30" spans="1:13" s="2" customFormat="1" ht="32.25" customHeight="1">
      <c r="A30" s="49" t="str">
        <f>IF(J29=Languages!L109,"*","")</f>
        <v/>
      </c>
      <c r="B30" s="500" t="str">
        <f>Languages!L37</f>
        <v>If a Procurement contract is in place, please ensure that a copy is submitted to contracts@relx.com.</v>
      </c>
      <c r="C30" s="500"/>
      <c r="D30" s="500"/>
      <c r="E30" s="500"/>
      <c r="F30" s="500"/>
      <c r="G30" s="500"/>
      <c r="H30" s="500"/>
      <c r="I30" s="500"/>
      <c r="J30" s="500"/>
      <c r="K30" s="500"/>
      <c r="L30" s="45"/>
      <c r="M30" s="2" t="str">
        <f t="shared" si="1"/>
        <v/>
      </c>
    </row>
    <row r="31" spans="1:13" s="2" customFormat="1" ht="54.9" customHeight="1">
      <c r="A31" s="49" t="s">
        <v>0</v>
      </c>
      <c r="B31" s="281" t="str">
        <f>Languages!L40</f>
        <v>To the best of your knowledge, do you, any member of your family, any RELX employee, or any family member of a RELX employee have or have you or they ever had a financial interest (e.g. work for, consult with, have a financial obligation, or ownership or investment interest) in the supplier?</v>
      </c>
      <c r="C31" s="281"/>
      <c r="D31" s="281"/>
      <c r="E31" s="281"/>
      <c r="F31" s="281"/>
      <c r="G31" s="281"/>
      <c r="H31" s="281"/>
      <c r="I31" s="281"/>
      <c r="J31" s="282"/>
      <c r="K31" s="176" t="s">
        <v>8</v>
      </c>
      <c r="L31" s="45"/>
      <c r="M31" s="2" t="str">
        <f t="shared" si="1"/>
        <v>*</v>
      </c>
    </row>
    <row r="32" spans="1:13" s="2" customFormat="1" ht="25.5" customHeight="1">
      <c r="A32" s="49" t="str">
        <f>IF(B32&gt;"","*","")</f>
        <v/>
      </c>
      <c r="B32" s="449" t="str">
        <f>IF(K31=Languages!L109,Languages!L41,"")</f>
        <v/>
      </c>
      <c r="C32" s="497"/>
      <c r="D32" s="497"/>
      <c r="E32" s="321"/>
      <c r="F32" s="322"/>
      <c r="G32" s="322"/>
      <c r="H32" s="322"/>
      <c r="I32" s="322"/>
      <c r="J32" s="322"/>
      <c r="K32" s="322"/>
      <c r="L32" s="323"/>
      <c r="M32" s="2" t="str">
        <f t="shared" si="1"/>
        <v/>
      </c>
    </row>
    <row r="33" spans="1:13" ht="87.6" customHeight="1" thickBot="1">
      <c r="A33" s="155"/>
      <c r="B33" s="488" t="str">
        <f>Languages!L42</f>
        <v>By submitting this form, I certify that, to the best of my knowledge, the information contained in this form is accurate and I understand that any misrepresentations on this form could subject me to disciplinary action, up to and including termination of my employment.  I further agree to promptly notify Global Accounts Payable if I become aware of any additional information that would make the information in this form inaccurate so that the information on this form can be updated.</v>
      </c>
      <c r="C33" s="488"/>
      <c r="D33" s="488"/>
      <c r="E33" s="488"/>
      <c r="F33" s="488"/>
      <c r="G33" s="488"/>
      <c r="H33" s="488"/>
      <c r="I33" s="488"/>
      <c r="J33" s="488"/>
      <c r="K33" s="488"/>
      <c r="L33" s="156"/>
      <c r="M33" s="2" t="s">
        <v>0</v>
      </c>
    </row>
    <row r="34" spans="1:13" ht="42.6" customHeight="1" thickBot="1">
      <c r="A34" s="338" t="str">
        <f>Languages!L44</f>
        <v xml:space="preserve">SUPPLIER INFORMATION (to be completed by the Supplier) </v>
      </c>
      <c r="B34" s="339"/>
      <c r="C34" s="339"/>
      <c r="D34" s="339"/>
      <c r="E34" s="339"/>
      <c r="F34" s="339"/>
      <c r="G34" s="339"/>
      <c r="H34" s="339"/>
      <c r="I34" s="339"/>
      <c r="J34" s="339"/>
      <c r="K34" s="339"/>
      <c r="L34" s="340"/>
      <c r="M34" s="1" t="s">
        <v>0</v>
      </c>
    </row>
    <row r="35" spans="1:13" ht="63.9" customHeight="1">
      <c r="A35" s="123"/>
      <c r="B35" s="486" t="str">
        <f>Languages!L4</f>
        <v>This form is used to gather information required by our financial department to pay your expenses, honoraria or other costs. RELX will not use this information for any other purpose than that mentioned above. This information MUST be received before any payment can be made. For terms and conditions we refer to the agreement made between you and your RELX legal trading entity.</v>
      </c>
      <c r="C35" s="486"/>
      <c r="D35" s="486"/>
      <c r="E35" s="486"/>
      <c r="F35" s="486"/>
      <c r="G35" s="486"/>
      <c r="H35" s="486"/>
      <c r="I35" s="486"/>
      <c r="J35" s="487"/>
      <c r="K35" s="486"/>
      <c r="L35" s="47"/>
      <c r="M35" s="1" t="s">
        <v>0</v>
      </c>
    </row>
    <row r="36" spans="1:13" ht="48" customHeight="1">
      <c r="A36" s="143" t="str">
        <f>IF(suppaytype='Drop Down Lists'!D11,"*","")</f>
        <v/>
      </c>
      <c r="B36" s="341" t="str">
        <f>Languages!L7</f>
        <v>Click on the blue box to view important RELX Global invoicing requirements. Following these requirements will reduce the risk of late payments or invoice rejections. (Not applicable to US Authors)</v>
      </c>
      <c r="C36" s="341"/>
      <c r="D36" s="341"/>
      <c r="E36" s="341"/>
      <c r="F36" s="341"/>
      <c r="G36" s="341"/>
      <c r="H36" s="341"/>
      <c r="I36" s="341"/>
      <c r="J36" s="342"/>
      <c r="K36" s="110" t="s">
        <v>10</v>
      </c>
      <c r="L36" s="46"/>
    </row>
    <row r="37" spans="1:13" ht="48" customHeight="1" thickBot="1">
      <c r="A37" s="125"/>
      <c r="B37" s="520" t="str">
        <f>Languages!L5</f>
        <v>Please complete ALL required fields and submit as directed below.</v>
      </c>
      <c r="C37" s="520"/>
      <c r="D37" s="520"/>
      <c r="E37" s="520"/>
      <c r="F37" s="520"/>
      <c r="G37" s="520"/>
      <c r="H37" s="520"/>
      <c r="I37" s="134" t="s">
        <v>11</v>
      </c>
      <c r="J37" s="498" t="str">
        <f>Languages!L9</f>
        <v>Required Field</v>
      </c>
      <c r="K37" s="499"/>
      <c r="L37" s="48"/>
      <c r="M37" s="1" t="s">
        <v>0</v>
      </c>
    </row>
    <row r="38" spans="1:13" ht="35.1" customHeight="1">
      <c r="A38" s="49" t="s">
        <v>0</v>
      </c>
      <c r="B38" s="281" t="str">
        <f>Languages!L50</f>
        <v>Supplier/Trading/Individual Name</v>
      </c>
      <c r="C38" s="281"/>
      <c r="D38" s="281"/>
      <c r="E38" s="281"/>
      <c r="F38" s="282"/>
      <c r="G38" s="501"/>
      <c r="H38" s="502"/>
      <c r="I38" s="502"/>
      <c r="J38" s="502"/>
      <c r="K38" s="502"/>
      <c r="L38" s="503"/>
      <c r="M38" s="1" t="str">
        <f>A38</f>
        <v>*</v>
      </c>
    </row>
    <row r="39" spans="1:13" ht="18">
      <c r="A39" s="49" t="s">
        <v>0</v>
      </c>
      <c r="B39" s="279" t="s">
        <v>2295</v>
      </c>
      <c r="C39" s="279"/>
      <c r="D39" s="279"/>
      <c r="E39" s="279"/>
      <c r="F39" s="280"/>
      <c r="G39" s="346"/>
      <c r="H39" s="347"/>
      <c r="I39" s="347"/>
      <c r="J39" s="347"/>
      <c r="K39" s="347"/>
      <c r="L39" s="348"/>
    </row>
    <row r="40" spans="1:13" ht="20.100000000000001" customHeight="1">
      <c r="A40" s="49" t="s">
        <v>0</v>
      </c>
      <c r="B40" s="456" t="s">
        <v>16</v>
      </c>
      <c r="C40" s="456"/>
      <c r="D40" s="456"/>
      <c r="E40" s="456"/>
      <c r="F40" s="457"/>
      <c r="G40" s="346"/>
      <c r="H40" s="347"/>
      <c r="I40" s="347"/>
      <c r="J40" s="347"/>
      <c r="K40" s="347"/>
      <c r="L40" s="348"/>
      <c r="M40" s="1" t="str">
        <f>A40</f>
        <v>*</v>
      </c>
    </row>
    <row r="41" spans="1:13" ht="20.100000000000001" customHeight="1">
      <c r="A41" s="49" t="s">
        <v>0</v>
      </c>
      <c r="B41" s="458" t="s">
        <v>17</v>
      </c>
      <c r="C41" s="458"/>
      <c r="D41" s="458"/>
      <c r="E41" s="458"/>
      <c r="F41" s="459"/>
      <c r="G41" s="346"/>
      <c r="H41" s="347"/>
      <c r="I41" s="347"/>
      <c r="J41" s="347"/>
      <c r="K41" s="347"/>
      <c r="L41" s="348"/>
      <c r="M41" s="1" t="str">
        <f t="shared" ref="M41:M53" si="2">A41</f>
        <v>*</v>
      </c>
    </row>
    <row r="42" spans="1:13" ht="20.100000000000001" customHeight="1">
      <c r="A42" s="49" t="s">
        <v>0</v>
      </c>
      <c r="B42" s="458" t="s">
        <v>18</v>
      </c>
      <c r="C42" s="458"/>
      <c r="D42" s="458"/>
      <c r="E42" s="458"/>
      <c r="F42" s="459"/>
      <c r="G42" s="346"/>
      <c r="H42" s="347"/>
      <c r="I42" s="347"/>
      <c r="J42" s="347"/>
      <c r="K42" s="347"/>
      <c r="L42" s="348"/>
      <c r="M42" s="1" t="str">
        <f t="shared" si="2"/>
        <v>*</v>
      </c>
    </row>
    <row r="43" spans="1:13" ht="20.100000000000001" customHeight="1">
      <c r="A43" s="49" t="s">
        <v>0</v>
      </c>
      <c r="B43" s="458" t="s">
        <v>19</v>
      </c>
      <c r="C43" s="458"/>
      <c r="D43" s="458"/>
      <c r="E43" s="458"/>
      <c r="F43" s="459"/>
      <c r="G43" s="346"/>
      <c r="H43" s="347"/>
      <c r="I43" s="347"/>
      <c r="J43" s="347"/>
      <c r="K43" s="347"/>
      <c r="L43" s="348"/>
      <c r="M43" s="1" t="str">
        <f t="shared" si="2"/>
        <v>*</v>
      </c>
    </row>
    <row r="44" spans="1:13" ht="31.5" customHeight="1">
      <c r="A44" s="49" t="s">
        <v>0</v>
      </c>
      <c r="B44" s="279" t="s">
        <v>2296</v>
      </c>
      <c r="C44" s="279"/>
      <c r="D44" s="279"/>
      <c r="E44" s="279"/>
      <c r="F44" s="279"/>
      <c r="G44" s="279"/>
      <c r="H44" s="279"/>
      <c r="I44" s="280"/>
      <c r="J44" s="417" t="s">
        <v>8</v>
      </c>
      <c r="K44" s="418"/>
      <c r="L44" s="185"/>
      <c r="M44" s="1" t="str">
        <f t="shared" si="2"/>
        <v>*</v>
      </c>
    </row>
    <row r="45" spans="1:13" ht="31.5" customHeight="1">
      <c r="A45" s="49" t="s">
        <v>0</v>
      </c>
      <c r="B45" s="279" t="s">
        <v>2297</v>
      </c>
      <c r="C45" s="279"/>
      <c r="D45" s="279"/>
      <c r="E45" s="279"/>
      <c r="F45" s="279"/>
      <c r="G45" s="279"/>
      <c r="H45" s="279"/>
      <c r="I45" s="279"/>
      <c r="J45" s="279"/>
      <c r="K45" s="279"/>
      <c r="L45" s="185"/>
      <c r="M45" s="1" t="str">
        <f t="shared" si="2"/>
        <v>*</v>
      </c>
    </row>
    <row r="46" spans="1:13" ht="31.5" customHeight="1">
      <c r="A46" s="49" t="s">
        <v>0</v>
      </c>
      <c r="B46" s="260" t="b">
        <v>0</v>
      </c>
      <c r="C46" s="279" t="s">
        <v>2298</v>
      </c>
      <c r="D46" s="279"/>
      <c r="E46" s="279"/>
      <c r="F46" s="279"/>
      <c r="G46" s="279"/>
      <c r="H46" s="279"/>
      <c r="I46" s="279"/>
      <c r="J46" s="279"/>
      <c r="K46" s="279"/>
      <c r="L46" s="185"/>
      <c r="M46" s="1" t="str">
        <f t="shared" si="2"/>
        <v>*</v>
      </c>
    </row>
    <row r="47" spans="1:13" ht="31.5" customHeight="1">
      <c r="A47" s="49" t="s">
        <v>0</v>
      </c>
      <c r="B47" s="260" t="b">
        <v>0</v>
      </c>
      <c r="C47" s="279" t="s">
        <v>2299</v>
      </c>
      <c r="D47" s="279"/>
      <c r="E47" s="279"/>
      <c r="F47" s="279"/>
      <c r="G47" s="279"/>
      <c r="H47" s="279"/>
      <c r="I47" s="279"/>
      <c r="J47" s="279"/>
      <c r="K47" s="279"/>
      <c r="L47" s="185"/>
      <c r="M47" s="1" t="str">
        <f t="shared" si="2"/>
        <v>*</v>
      </c>
    </row>
    <row r="48" spans="1:13" ht="31.5" customHeight="1">
      <c r="A48" s="49" t="s">
        <v>0</v>
      </c>
      <c r="B48" s="260" t="b">
        <v>0</v>
      </c>
      <c r="C48" s="279" t="s">
        <v>2300</v>
      </c>
      <c r="D48" s="279"/>
      <c r="E48" s="279"/>
      <c r="F48" s="279"/>
      <c r="G48" s="279"/>
      <c r="H48" s="279"/>
      <c r="I48" s="279"/>
      <c r="J48" s="279"/>
      <c r="K48" s="279"/>
      <c r="L48" s="185"/>
      <c r="M48" s="1" t="str">
        <f t="shared" si="2"/>
        <v>*</v>
      </c>
    </row>
    <row r="49" spans="1:13" ht="31.5" customHeight="1">
      <c r="A49" s="49" t="s">
        <v>0</v>
      </c>
      <c r="B49" s="260" t="b">
        <v>0</v>
      </c>
      <c r="C49" s="279" t="s">
        <v>2301</v>
      </c>
      <c r="D49" s="279"/>
      <c r="E49" s="279"/>
      <c r="F49" s="279"/>
      <c r="G49" s="279"/>
      <c r="H49" s="279"/>
      <c r="I49" s="279"/>
      <c r="J49" s="279"/>
      <c r="K49" s="279"/>
      <c r="L49" s="185"/>
      <c r="M49" s="1" t="str">
        <f t="shared" si="2"/>
        <v>*</v>
      </c>
    </row>
    <row r="50" spans="1:13" ht="31.5" customHeight="1">
      <c r="A50" s="49" t="s">
        <v>0</v>
      </c>
      <c r="B50" s="260" t="b">
        <v>0</v>
      </c>
      <c r="C50" s="279" t="s">
        <v>2302</v>
      </c>
      <c r="D50" s="279"/>
      <c r="E50" s="279"/>
      <c r="F50" s="279"/>
      <c r="G50" s="279"/>
      <c r="H50" s="279"/>
      <c r="I50" s="279"/>
      <c r="J50" s="279"/>
      <c r="K50" s="279"/>
      <c r="L50" s="185"/>
      <c r="M50" s="1" t="str">
        <f t="shared" si="2"/>
        <v>*</v>
      </c>
    </row>
    <row r="51" spans="1:13" ht="31.5" customHeight="1">
      <c r="A51" s="49" t="s">
        <v>0</v>
      </c>
      <c r="B51" s="260" t="b">
        <v>0</v>
      </c>
      <c r="C51" s="279" t="s">
        <v>2303</v>
      </c>
      <c r="D51" s="279"/>
      <c r="E51" s="279"/>
      <c r="F51" s="279"/>
      <c r="G51" s="279"/>
      <c r="H51" s="279"/>
      <c r="I51" s="279"/>
      <c r="J51" s="279"/>
      <c r="K51" s="279"/>
      <c r="L51" s="185"/>
      <c r="M51" s="1" t="str">
        <f t="shared" si="2"/>
        <v>*</v>
      </c>
    </row>
    <row r="52" spans="1:13" ht="31.5" customHeight="1">
      <c r="A52" s="49" t="s">
        <v>0</v>
      </c>
      <c r="B52" s="260" t="b">
        <v>0</v>
      </c>
      <c r="C52" s="279" t="s">
        <v>2304</v>
      </c>
      <c r="D52" s="279"/>
      <c r="E52" s="279"/>
      <c r="F52" s="279"/>
      <c r="G52" s="279"/>
      <c r="H52" s="279"/>
      <c r="I52" s="279"/>
      <c r="J52" s="279"/>
      <c r="K52" s="279"/>
      <c r="L52" s="185"/>
      <c r="M52" s="1" t="str">
        <f t="shared" si="2"/>
        <v>*</v>
      </c>
    </row>
    <row r="53" spans="1:13" ht="31.5" customHeight="1">
      <c r="A53" s="49" t="s">
        <v>0</v>
      </c>
      <c r="B53" s="260" t="b">
        <v>0</v>
      </c>
      <c r="C53" s="279" t="s">
        <v>2305</v>
      </c>
      <c r="D53" s="279"/>
      <c r="E53" s="279"/>
      <c r="F53" s="279"/>
      <c r="G53" s="279"/>
      <c r="H53" s="279"/>
      <c r="I53" s="279"/>
      <c r="J53" s="279"/>
      <c r="K53" s="279"/>
      <c r="L53" s="185"/>
      <c r="M53" s="1" t="str">
        <f t="shared" si="2"/>
        <v>*</v>
      </c>
    </row>
    <row r="54" spans="1:13" ht="22.5" customHeight="1">
      <c r="A54" s="49" t="s">
        <v>0</v>
      </c>
      <c r="B54" s="287" t="str">
        <f>Languages!L51</f>
        <v>Postal Country</v>
      </c>
      <c r="C54" s="287"/>
      <c r="D54" s="287"/>
      <c r="E54" s="287"/>
      <c r="F54" s="288"/>
      <c r="G54" s="335" t="s">
        <v>2293</v>
      </c>
      <c r="H54" s="335"/>
      <c r="I54" s="335"/>
      <c r="J54" s="335"/>
      <c r="K54" s="465"/>
      <c r="L54" s="46"/>
      <c r="M54" s="1" t="str">
        <f t="shared" ref="M54:M58" si="3">A54</f>
        <v>*</v>
      </c>
    </row>
    <row r="55" spans="1:13" ht="27.75" customHeight="1">
      <c r="A55" s="49" t="s">
        <v>0</v>
      </c>
      <c r="B55" s="281" t="str">
        <f>Languages!L52</f>
        <v>Country of Tax Residence</v>
      </c>
      <c r="C55" s="281"/>
      <c r="D55" s="281"/>
      <c r="E55" s="281"/>
      <c r="F55" s="282"/>
      <c r="G55" s="335" t="s">
        <v>2293</v>
      </c>
      <c r="H55" s="335"/>
      <c r="I55" s="335"/>
      <c r="J55" s="335"/>
      <c r="K55" s="335"/>
      <c r="L55" s="46"/>
      <c r="M55" s="1" t="str">
        <f t="shared" si="3"/>
        <v>*</v>
      </c>
    </row>
    <row r="56" spans="1:13" ht="27.75" customHeight="1">
      <c r="A56" s="49" t="s">
        <v>0</v>
      </c>
      <c r="B56" s="279" t="str">
        <f>Languages!L184</f>
        <v>Organization Type</v>
      </c>
      <c r="C56" s="279"/>
      <c r="D56" s="279"/>
      <c r="E56" s="279"/>
      <c r="F56" s="280"/>
      <c r="G56" s="343" t="s">
        <v>2</v>
      </c>
      <c r="H56" s="344"/>
      <c r="I56" s="344"/>
      <c r="J56" s="344"/>
      <c r="K56" s="344"/>
      <c r="L56" s="46"/>
      <c r="M56" s="1" t="str">
        <f t="shared" si="3"/>
        <v>*</v>
      </c>
    </row>
    <row r="57" spans="1:13" ht="27.75" customHeight="1">
      <c r="A57" s="49" t="s">
        <v>0</v>
      </c>
      <c r="B57" s="279" t="str">
        <f>Languages!L193</f>
        <v>Business Classification</v>
      </c>
      <c r="C57" s="279"/>
      <c r="D57" s="279"/>
      <c r="E57" s="279"/>
      <c r="F57" s="280"/>
      <c r="G57" s="343" t="s">
        <v>2</v>
      </c>
      <c r="H57" s="344"/>
      <c r="I57" s="344"/>
      <c r="J57" s="344"/>
      <c r="K57" s="344"/>
      <c r="L57" s="46"/>
      <c r="M57" s="1" t="str">
        <f t="shared" si="3"/>
        <v>*</v>
      </c>
    </row>
    <row r="58" spans="1:13" ht="27.75" customHeight="1">
      <c r="A58" s="122" t="s">
        <v>0</v>
      </c>
      <c r="B58" s="488" t="s">
        <v>1698</v>
      </c>
      <c r="C58" s="488"/>
      <c r="D58" s="488"/>
      <c r="E58" s="488"/>
      <c r="F58" s="488"/>
      <c r="G58" s="488"/>
      <c r="H58" s="488"/>
      <c r="I58" s="488"/>
      <c r="J58" s="488"/>
      <c r="K58" s="488"/>
      <c r="L58" s="156"/>
      <c r="M58" s="1" t="str">
        <f t="shared" si="3"/>
        <v>*</v>
      </c>
    </row>
    <row r="59" spans="1:13" ht="32.25" customHeight="1">
      <c r="A59" s="120"/>
      <c r="B59" s="268"/>
      <c r="C59" s="582" t="s">
        <v>2</v>
      </c>
      <c r="D59" s="582"/>
      <c r="E59" s="582"/>
      <c r="F59" s="582"/>
      <c r="G59" s="582"/>
      <c r="H59" s="582"/>
      <c r="I59" s="582"/>
      <c r="J59" s="582"/>
      <c r="K59" s="582"/>
      <c r="L59" s="164"/>
      <c r="M59" s="1" t="s">
        <v>0</v>
      </c>
    </row>
    <row r="60" spans="1:13" ht="35.1" customHeight="1">
      <c r="A60" s="49" t="s">
        <v>0</v>
      </c>
      <c r="B60" s="287" t="str">
        <f>Languages!L53</f>
        <v>Address Line 1</v>
      </c>
      <c r="C60" s="287"/>
      <c r="D60" s="287"/>
      <c r="E60" s="287"/>
      <c r="F60" s="288"/>
      <c r="G60" s="285"/>
      <c r="H60" s="286"/>
      <c r="I60" s="286"/>
      <c r="J60" s="286"/>
      <c r="K60" s="286"/>
      <c r="L60" s="305"/>
      <c r="M60" s="1" t="s">
        <v>0</v>
      </c>
    </row>
    <row r="61" spans="1:13" ht="35.1" customHeight="1">
      <c r="A61" s="124"/>
      <c r="B61" s="287" t="str">
        <f>Languages!L54</f>
        <v>Address Line 2</v>
      </c>
      <c r="C61" s="287"/>
      <c r="D61" s="287"/>
      <c r="E61" s="287"/>
      <c r="F61" s="288"/>
      <c r="G61" s="285"/>
      <c r="H61" s="286"/>
      <c r="I61" s="286"/>
      <c r="J61" s="286"/>
      <c r="K61" s="286"/>
      <c r="L61" s="305"/>
      <c r="M61" s="1" t="s">
        <v>0</v>
      </c>
    </row>
    <row r="62" spans="1:13" ht="35.1" customHeight="1">
      <c r="A62" s="124"/>
      <c r="B62" s="287" t="str">
        <f>Languages!L55</f>
        <v>Address Line 3</v>
      </c>
      <c r="C62" s="287"/>
      <c r="D62" s="287"/>
      <c r="E62" s="287"/>
      <c r="F62" s="288"/>
      <c r="G62" s="285"/>
      <c r="H62" s="286"/>
      <c r="I62" s="286"/>
      <c r="J62" s="286"/>
      <c r="K62" s="286"/>
      <c r="L62" s="305"/>
      <c r="M62" s="1" t="s">
        <v>0</v>
      </c>
    </row>
    <row r="63" spans="1:13" ht="35.1" customHeight="1">
      <c r="A63" s="124"/>
      <c r="B63" s="287" t="str">
        <f>Languages!L56</f>
        <v>Address Line 4</v>
      </c>
      <c r="C63" s="287"/>
      <c r="D63" s="287"/>
      <c r="E63" s="287"/>
      <c r="F63" s="288"/>
      <c r="G63" s="285"/>
      <c r="H63" s="286"/>
      <c r="I63" s="286"/>
      <c r="J63" s="286"/>
      <c r="K63" s="286"/>
      <c r="L63" s="305"/>
      <c r="M63" s="1" t="s">
        <v>0</v>
      </c>
    </row>
    <row r="64" spans="1:13" ht="35.1" customHeight="1">
      <c r="A64" s="49" t="str">
        <f>IF(B64&gt;"","*","")</f>
        <v>*</v>
      </c>
      <c r="B64" s="287" t="str">
        <f>Languages!L57</f>
        <v>City</v>
      </c>
      <c r="C64" s="287"/>
      <c r="D64" s="287"/>
      <c r="E64" s="287"/>
      <c r="F64" s="288"/>
      <c r="G64" s="285"/>
      <c r="H64" s="286"/>
      <c r="I64" s="286"/>
      <c r="J64" s="286"/>
      <c r="K64" s="286"/>
      <c r="L64" s="305"/>
      <c r="M64" s="1" t="str">
        <f t="shared" ref="M64:M65" si="4">A64</f>
        <v>*</v>
      </c>
    </row>
    <row r="65" spans="1:19" ht="35.1" customHeight="1">
      <c r="A65" s="49" t="s">
        <v>0</v>
      </c>
      <c r="B65" s="287" t="str">
        <f>Languages!L58</f>
        <v>Postal/Zip Code</v>
      </c>
      <c r="C65" s="287"/>
      <c r="D65" s="287"/>
      <c r="E65" s="287"/>
      <c r="F65" s="288"/>
      <c r="G65" s="285"/>
      <c r="H65" s="286"/>
      <c r="I65" s="286"/>
      <c r="J65" s="286"/>
      <c r="K65" s="286"/>
      <c r="L65" s="305"/>
      <c r="M65" s="1" t="str">
        <f t="shared" si="4"/>
        <v>*</v>
      </c>
    </row>
    <row r="66" spans="1:19" ht="35.1" customHeight="1">
      <c r="A66" s="124"/>
      <c r="B66" s="281" t="str">
        <f>Languages!L59</f>
        <v xml:space="preserve">Contact Name (change if different from payable/remit to) </v>
      </c>
      <c r="C66" s="281"/>
      <c r="D66" s="281"/>
      <c r="E66" s="281"/>
      <c r="F66" s="282"/>
      <c r="G66" s="321" t="str">
        <f>IF(G38&gt;"",G38,"")</f>
        <v/>
      </c>
      <c r="H66" s="322"/>
      <c r="I66" s="322"/>
      <c r="J66" s="322"/>
      <c r="K66" s="322"/>
      <c r="L66" s="323"/>
      <c r="M66" s="1" t="s">
        <v>0</v>
      </c>
    </row>
    <row r="67" spans="1:19" ht="41.25" customHeight="1">
      <c r="A67" s="49" t="s">
        <v>0</v>
      </c>
      <c r="B67" s="279" t="str">
        <f>Languages!L176</f>
        <v>User Account Email Address</v>
      </c>
      <c r="C67" s="279"/>
      <c r="D67" s="279"/>
      <c r="E67" s="279"/>
      <c r="F67" s="280"/>
      <c r="G67" s="473"/>
      <c r="H67" s="474"/>
      <c r="I67" s="474"/>
      <c r="J67" s="474"/>
      <c r="K67" s="474"/>
      <c r="L67" s="475"/>
      <c r="M67" s="250" t="s">
        <v>0</v>
      </c>
    </row>
    <row r="68" spans="1:19" ht="21.75" customHeight="1">
      <c r="A68" s="49"/>
      <c r="B68" s="476" t="str">
        <f>Languages!L177</f>
        <v>(Will be given access to setup supplier profile and bank information in the supplier portal - when available.)</v>
      </c>
      <c r="C68" s="476"/>
      <c r="D68" s="476"/>
      <c r="E68" s="476"/>
      <c r="F68" s="476"/>
      <c r="G68" s="476"/>
      <c r="H68" s="476"/>
      <c r="I68" s="476"/>
      <c r="J68" s="476"/>
      <c r="K68" s="476"/>
      <c r="L68" s="249"/>
      <c r="M68" s="250"/>
    </row>
    <row r="69" spans="1:19" ht="45" customHeight="1">
      <c r="A69" s="49" t="s">
        <v>0</v>
      </c>
      <c r="B69" s="512" t="str">
        <f>Languages!L62</f>
        <v>Supplier/Payee Email Address for Payment Remittance</v>
      </c>
      <c r="C69" s="512"/>
      <c r="D69" s="512"/>
      <c r="E69" s="512"/>
      <c r="F69" s="513"/>
      <c r="G69" s="285"/>
      <c r="H69" s="286"/>
      <c r="I69" s="286"/>
      <c r="J69" s="286"/>
      <c r="K69" s="286"/>
      <c r="L69" s="305"/>
      <c r="M69" s="1" t="str">
        <f>A69</f>
        <v>*</v>
      </c>
    </row>
    <row r="70" spans="1:19" ht="41.1" customHeight="1">
      <c r="A70" s="49" t="s">
        <v>0</v>
      </c>
      <c r="B70" s="287" t="str">
        <f>Languages!L61</f>
        <v>Supplier/Payee Email Address for Purchase Orders</v>
      </c>
      <c r="C70" s="287"/>
      <c r="D70" s="287"/>
      <c r="E70" s="287"/>
      <c r="F70" s="288"/>
      <c r="G70" s="346"/>
      <c r="H70" s="347"/>
      <c r="I70" s="347"/>
      <c r="J70" s="347"/>
      <c r="K70" s="347"/>
      <c r="L70" s="348"/>
      <c r="M70" s="1" t="str">
        <f>A70</f>
        <v>*</v>
      </c>
    </row>
    <row r="71" spans="1:19" ht="41.1" customHeight="1">
      <c r="A71" s="49"/>
      <c r="B71" s="281" t="s">
        <v>2306</v>
      </c>
      <c r="C71" s="281"/>
      <c r="D71" s="281"/>
      <c r="E71" s="281"/>
      <c r="F71" s="282"/>
      <c r="G71" s="261"/>
      <c r="H71" s="262"/>
      <c r="I71" s="262"/>
      <c r="J71" s="262"/>
      <c r="K71" s="262"/>
      <c r="L71" s="174"/>
      <c r="M71" s="1" t="s">
        <v>0</v>
      </c>
    </row>
    <row r="72" spans="1:19" ht="35.1" customHeight="1">
      <c r="A72" s="124"/>
      <c r="B72" s="281" t="str">
        <f>Languages!L63</f>
        <v xml:space="preserve">Additional Contact Email (if applicable) </v>
      </c>
      <c r="C72" s="281"/>
      <c r="D72" s="281"/>
      <c r="E72" s="281"/>
      <c r="F72" s="282"/>
      <c r="G72" s="285"/>
      <c r="H72" s="286"/>
      <c r="I72" s="286"/>
      <c r="J72" s="286"/>
      <c r="K72" s="286"/>
      <c r="L72" s="305"/>
      <c r="M72" s="1" t="s">
        <v>0</v>
      </c>
    </row>
    <row r="73" spans="1:19" ht="35.1" customHeight="1">
      <c r="A73" s="49" t="s">
        <v>0</v>
      </c>
      <c r="B73" s="281" t="str">
        <f>Languages!L64</f>
        <v>Supplier/Payee Phone Number</v>
      </c>
      <c r="C73" s="281"/>
      <c r="D73" s="281"/>
      <c r="E73" s="281"/>
      <c r="F73" s="281"/>
      <c r="G73" s="477" t="str">
        <f>IF(country="select a country…","",CONCATENATE("+",VLOOKUP(country,'Drop Down Lists'!$U$1:$V$254,2,FALSE)))</f>
        <v>+27</v>
      </c>
      <c r="H73" s="478"/>
      <c r="I73" s="334"/>
      <c r="J73" s="335"/>
      <c r="K73" s="335"/>
      <c r="L73" s="345"/>
      <c r="M73" s="1" t="str">
        <f t="shared" ref="M73" si="5">A73</f>
        <v>*</v>
      </c>
      <c r="N73" s="308" t="str">
        <f>Languages!L255</f>
        <v>If address change only, skip to row 85.</v>
      </c>
      <c r="O73" s="309"/>
      <c r="P73" s="309"/>
      <c r="Q73" s="309"/>
      <c r="R73" s="309"/>
      <c r="S73" s="310"/>
    </row>
    <row r="74" spans="1:19" ht="35.1" customHeight="1">
      <c r="A74" s="49" t="s">
        <v>0</v>
      </c>
      <c r="B74" s="281" t="str">
        <f>Languages!L85</f>
        <v>Account Holder Name</v>
      </c>
      <c r="C74" s="281"/>
      <c r="D74" s="281"/>
      <c r="E74" s="281"/>
      <c r="F74" s="282"/>
      <c r="G74" s="321" t="str">
        <f>IF(G38&gt;"",G38,"")</f>
        <v/>
      </c>
      <c r="H74" s="322"/>
      <c r="I74" s="322"/>
      <c r="J74" s="322"/>
      <c r="K74" s="322"/>
      <c r="L74" s="323"/>
      <c r="M74" s="1" t="str">
        <f t="shared" ref="M74:M82" si="6">A74</f>
        <v>*</v>
      </c>
    </row>
    <row r="75" spans="1:19" ht="44.1" customHeight="1">
      <c r="A75" s="49" t="str">
        <f>IF(B75&gt;"","*","")</f>
        <v/>
      </c>
      <c r="B75" s="448" t="str">
        <f>IF(OR(E12=Languages!L117,E12=Languages!L118),Languages!L81,"")</f>
        <v/>
      </c>
      <c r="C75" s="448"/>
      <c r="D75" s="448"/>
      <c r="E75" s="448"/>
      <c r="F75" s="449"/>
      <c r="G75" s="443"/>
      <c r="H75" s="444"/>
      <c r="I75" s="444"/>
      <c r="J75" s="444"/>
      <c r="K75" s="444"/>
      <c r="L75" s="445"/>
      <c r="M75" s="1" t="str">
        <f t="shared" si="6"/>
        <v/>
      </c>
    </row>
    <row r="76" spans="1:19" ht="21.6" customHeight="1">
      <c r="A76" s="49" t="str">
        <f>IF(B76&gt;"","*","")</f>
        <v>*</v>
      </c>
      <c r="B76" s="281" t="str">
        <f>IF(OR(ledger1="EmailAge",ledger1="United States"),"",Languages!L82)</f>
        <v>Invoice Currency</v>
      </c>
      <c r="C76" s="281"/>
      <c r="D76" s="281"/>
      <c r="E76" s="281"/>
      <c r="F76" s="282"/>
      <c r="G76" s="334" t="s">
        <v>2307</v>
      </c>
      <c r="H76" s="335"/>
      <c r="I76" s="335"/>
      <c r="J76" s="335"/>
      <c r="K76" s="335"/>
      <c r="L76" s="46"/>
      <c r="M76" s="1" t="str">
        <f t="shared" si="6"/>
        <v>*</v>
      </c>
    </row>
    <row r="77" spans="1:19" ht="35.1" customHeight="1">
      <c r="A77" s="49" t="str">
        <f>IF(B77&gt;"","*","")</f>
        <v>*</v>
      </c>
      <c r="B77" s="279" t="str">
        <f>Languages!L86</f>
        <v>Bank Name</v>
      </c>
      <c r="C77" s="280"/>
      <c r="D77" s="346"/>
      <c r="E77" s="347"/>
      <c r="F77" s="347"/>
      <c r="G77" s="347"/>
      <c r="H77" s="347"/>
      <c r="I77" s="347"/>
      <c r="J77" s="347"/>
      <c r="K77" s="347"/>
      <c r="L77" s="348"/>
      <c r="M77" s="1" t="str">
        <f t="shared" si="6"/>
        <v>*</v>
      </c>
    </row>
    <row r="78" spans="1:19" ht="35.1" customHeight="1">
      <c r="A78" s="49"/>
      <c r="B78" s="279" t="str">
        <f>Languages!L87</f>
        <v>Branch Name</v>
      </c>
      <c r="C78" s="280"/>
      <c r="D78" s="346"/>
      <c r="E78" s="347"/>
      <c r="F78" s="347"/>
      <c r="G78" s="347"/>
      <c r="H78" s="347"/>
      <c r="I78" s="347"/>
      <c r="J78" s="347"/>
      <c r="K78" s="347"/>
      <c r="L78" s="348"/>
      <c r="M78" s="1" t="s">
        <v>0</v>
      </c>
    </row>
    <row r="79" spans="1:19" s="2" customFormat="1" ht="24" customHeight="1">
      <c r="A79" s="49" t="str">
        <f t="shared" ref="A79:A80" si="7">IF(B79&gt;"","*","")</f>
        <v>*</v>
      </c>
      <c r="B79" s="279" t="str">
        <f>Languages!L88</f>
        <v>Bank Country</v>
      </c>
      <c r="C79" s="279"/>
      <c r="D79" s="279"/>
      <c r="E79" s="279"/>
      <c r="F79" s="279"/>
      <c r="G79" s="279"/>
      <c r="H79" s="280"/>
      <c r="I79" s="451" t="s">
        <v>2293</v>
      </c>
      <c r="J79" s="452"/>
      <c r="K79" s="452"/>
      <c r="L79" s="45"/>
      <c r="M79" s="2" t="str">
        <f t="shared" si="6"/>
        <v>*</v>
      </c>
    </row>
    <row r="80" spans="1:19" s="2" customFormat="1" ht="45" customHeight="1">
      <c r="A80" s="49" t="str">
        <f t="shared" si="7"/>
        <v>*</v>
      </c>
      <c r="B80" s="281" t="str">
        <f>Languages!L89</f>
        <v>Bank Account Number</v>
      </c>
      <c r="C80" s="282"/>
      <c r="D80" s="346"/>
      <c r="E80" s="347"/>
      <c r="F80" s="347"/>
      <c r="G80" s="347"/>
      <c r="H80" s="347"/>
      <c r="I80" s="347"/>
      <c r="J80" s="347"/>
      <c r="K80" s="347"/>
      <c r="L80" s="348"/>
      <c r="M80" s="2" t="str">
        <f t="shared" si="6"/>
        <v>*</v>
      </c>
    </row>
    <row r="81" spans="1:13" ht="45.6" customHeight="1">
      <c r="A81" s="49" t="str">
        <f>IF(sortbranchreqcond1&gt;0,"*","")</f>
        <v>*</v>
      </c>
      <c r="B81" s="281" t="str">
        <f>IF(sortbranchcond1&gt;0,Languages!L91,"")</f>
        <v>Sort/Branch Code</v>
      </c>
      <c r="C81" s="282"/>
      <c r="D81" s="346"/>
      <c r="E81" s="347"/>
      <c r="F81" s="347"/>
      <c r="G81" s="347"/>
      <c r="H81" s="347"/>
      <c r="I81" s="347"/>
      <c r="J81" s="347"/>
      <c r="K81" s="347"/>
      <c r="L81" s="348"/>
      <c r="M81" s="175" t="str">
        <f t="shared" si="6"/>
        <v>*</v>
      </c>
    </row>
    <row r="82" spans="1:13" ht="39" customHeight="1">
      <c r="A82" s="49" t="str">
        <f>IF(ibanreqcond1&gt;0,"*","")</f>
        <v>*</v>
      </c>
      <c r="B82" s="281" t="str">
        <f>IF(ibancond1&gt;0,Languages!L93,"")</f>
        <v>IBAN Number</v>
      </c>
      <c r="C82" s="282"/>
      <c r="D82" s="346"/>
      <c r="E82" s="347"/>
      <c r="F82" s="347"/>
      <c r="G82" s="347"/>
      <c r="H82" s="347"/>
      <c r="I82" s="347"/>
      <c r="J82" s="347"/>
      <c r="K82" s="347"/>
      <c r="L82" s="348"/>
      <c r="M82" s="1" t="str">
        <f t="shared" si="6"/>
        <v>*</v>
      </c>
    </row>
    <row r="83" spans="1:13" ht="54.9" customHeight="1">
      <c r="A83" s="49"/>
      <c r="B83" s="281" t="str">
        <f>Languages!L94</f>
        <v>BIC / SWIFT Code</v>
      </c>
      <c r="C83" s="282"/>
      <c r="D83" s="346"/>
      <c r="E83" s="347"/>
      <c r="F83" s="347"/>
      <c r="G83" s="347"/>
      <c r="H83" s="347"/>
      <c r="I83" s="347"/>
      <c r="J83" s="347"/>
      <c r="K83" s="347"/>
      <c r="L83" s="348"/>
      <c r="M83" s="1" t="s">
        <v>0</v>
      </c>
    </row>
    <row r="84" spans="1:13" s="2" customFormat="1" ht="36.6" customHeight="1">
      <c r="A84" s="49" t="str">
        <f>IF(bankcountry2="Malaysia","*","")</f>
        <v/>
      </c>
      <c r="B84" s="141"/>
      <c r="C84" s="427" t="str">
        <f>Languages!L95</f>
        <v>SWIFT code is required for foreign payments only.</v>
      </c>
      <c r="D84" s="427"/>
      <c r="E84" s="427"/>
      <c r="F84" s="427"/>
      <c r="G84" s="427"/>
      <c r="H84" s="427"/>
      <c r="I84" s="427"/>
      <c r="J84" s="427"/>
      <c r="K84" s="139"/>
      <c r="L84" s="45"/>
      <c r="M84" s="2" t="str">
        <f>IF(bankcountry2&lt;&gt;"Malaysia","*","")</f>
        <v>*</v>
      </c>
    </row>
    <row r="85" spans="1:13" customFormat="1" ht="84" customHeight="1">
      <c r="A85" s="426" t="str">
        <f>Languages!L101</f>
        <v xml:space="preserve">I HEREBY CERTIFY THAT THE INFORMATION PROVIDED HEREIN IS COMPLETE AND FACTUAL TO THE BEST OF MY KNOWLEDGE. *
Supplier understands LexisNexis Accounts Payable confidentially maintains a global supplier platform, therefore information provided on this form may be used for payments owing to the supplier from any of the RELX global companies. </v>
      </c>
      <c r="B85" s="426"/>
      <c r="C85" s="426"/>
      <c r="D85" s="426"/>
      <c r="E85" s="426"/>
      <c r="F85" s="426"/>
      <c r="G85" s="426"/>
      <c r="H85" s="426"/>
      <c r="I85" s="426"/>
      <c r="J85" s="426"/>
      <c r="K85" s="426"/>
      <c r="L85" s="426"/>
      <c r="M85" t="s">
        <v>0</v>
      </c>
    </row>
    <row r="86" spans="1:13" ht="35.1" customHeight="1">
      <c r="A86" s="49" t="s">
        <v>0</v>
      </c>
      <c r="B86" s="279" t="str">
        <f>Languages!L102</f>
        <v>Date</v>
      </c>
      <c r="C86" s="280"/>
      <c r="D86" s="420"/>
      <c r="E86" s="421"/>
      <c r="F86" s="421"/>
      <c r="G86" s="421"/>
      <c r="H86" s="421"/>
      <c r="I86" s="421"/>
      <c r="J86" s="421"/>
      <c r="K86" s="421"/>
      <c r="L86" s="422"/>
      <c r="M86" s="1" t="str">
        <f>A86</f>
        <v>*</v>
      </c>
    </row>
    <row r="87" spans="1:13" ht="35.1" customHeight="1">
      <c r="A87" s="49" t="s">
        <v>0</v>
      </c>
      <c r="B87" s="279" t="str">
        <f>Languages!L103</f>
        <v>Name</v>
      </c>
      <c r="C87" s="280"/>
      <c r="D87" s="346"/>
      <c r="E87" s="347"/>
      <c r="F87" s="347"/>
      <c r="G87" s="347"/>
      <c r="H87" s="347"/>
      <c r="I87" s="347"/>
      <c r="J87" s="347"/>
      <c r="K87" s="347"/>
      <c r="L87" s="348"/>
      <c r="M87" s="1" t="str">
        <f>A87</f>
        <v>*</v>
      </c>
    </row>
    <row r="88" spans="1:13" ht="35.1" customHeight="1">
      <c r="A88" s="49" t="s">
        <v>0</v>
      </c>
      <c r="B88" s="279" t="str">
        <f>Languages!L104</f>
        <v>Title</v>
      </c>
      <c r="C88" s="280"/>
      <c r="D88" s="346"/>
      <c r="E88" s="347"/>
      <c r="F88" s="347"/>
      <c r="G88" s="347"/>
      <c r="H88" s="347"/>
      <c r="I88" s="347"/>
      <c r="J88" s="347"/>
      <c r="K88" s="347"/>
      <c r="L88" s="348"/>
      <c r="M88" s="1" t="str">
        <f>A88</f>
        <v>*</v>
      </c>
    </row>
    <row r="89" spans="1:13" ht="35.1" customHeight="1">
      <c r="A89" s="49" t="s">
        <v>0</v>
      </c>
      <c r="B89" s="279" t="str">
        <f>Languages!L105</f>
        <v>Signature</v>
      </c>
      <c r="C89" s="280"/>
      <c r="D89" s="261"/>
      <c r="E89" s="262"/>
      <c r="F89" s="262"/>
      <c r="G89" s="262"/>
      <c r="H89" s="262"/>
      <c r="I89" s="262"/>
      <c r="J89" s="262"/>
      <c r="K89" s="262"/>
      <c r="L89" s="174"/>
      <c r="M89" s="1" t="str">
        <f>A89</f>
        <v>*</v>
      </c>
    </row>
    <row r="90" spans="1:13" ht="35.1" customHeight="1">
      <c r="A90" s="49" t="s">
        <v>0</v>
      </c>
      <c r="B90" s="279" t="str">
        <f>Languages!L258</f>
        <v>Email Address</v>
      </c>
      <c r="C90" s="280"/>
      <c r="D90" s="346"/>
      <c r="E90" s="347"/>
      <c r="F90" s="347"/>
      <c r="G90" s="347"/>
      <c r="H90" s="347"/>
      <c r="I90" s="347"/>
      <c r="J90" s="347"/>
      <c r="K90" s="347"/>
      <c r="L90" s="348"/>
      <c r="M90" s="1" t="s">
        <v>0</v>
      </c>
    </row>
    <row r="91" spans="1:13" s="2" customFormat="1" ht="23.4" customHeight="1" thickBot="1">
      <c r="A91" s="400" t="str">
        <f>Languages!L97</f>
        <v>FORM SUBMISSION</v>
      </c>
      <c r="B91" s="401"/>
      <c r="C91" s="401"/>
      <c r="D91" s="401"/>
      <c r="E91" s="401"/>
      <c r="F91" s="401"/>
      <c r="G91" s="401"/>
      <c r="H91" s="401"/>
      <c r="I91" s="401"/>
      <c r="J91" s="401"/>
      <c r="K91" s="401"/>
      <c r="L91" s="402"/>
      <c r="M91" s="2" t="s">
        <v>0</v>
      </c>
    </row>
    <row r="92" spans="1:13" ht="66" customHeight="1">
      <c r="A92" s="277"/>
      <c r="B92" s="579" t="str">
        <f>Languages!L106</f>
        <v xml:space="preserve">THIS FORM MUST BE PROVIDED TO ACCOUNTS PAYABLE IN PDF FORMAT. 
Either select Save As and choose a Save as type of PDF 
or Print and select Printer of Microsoft Print to PDF. </v>
      </c>
      <c r="C92" s="579"/>
      <c r="D92" s="579"/>
      <c r="E92" s="579"/>
      <c r="F92" s="579"/>
      <c r="G92" s="579"/>
      <c r="H92" s="579"/>
      <c r="I92" s="579"/>
      <c r="J92" s="579"/>
      <c r="K92" s="579"/>
      <c r="L92" s="278"/>
      <c r="M92" s="1" t="s">
        <v>0</v>
      </c>
    </row>
    <row r="93" spans="1:13" ht="63" customHeight="1" thickBot="1">
      <c r="A93" s="275"/>
      <c r="B93" s="413" t="str">
        <f>Languages!L107</f>
        <v>EMAIL COMPLETED PDF COPY OF THIS FORM AND ALL OTHER RELEVANT DOCUMENTATION TO:</v>
      </c>
      <c r="C93" s="413"/>
      <c r="D93" s="413"/>
      <c r="E93" s="413"/>
      <c r="F93" s="580" t="s">
        <v>2308</v>
      </c>
      <c r="G93" s="435"/>
      <c r="H93" s="435"/>
      <c r="I93" s="435"/>
      <c r="J93" s="435"/>
      <c r="K93" s="435"/>
      <c r="L93" s="276"/>
      <c r="M93" s="2" t="s">
        <v>0</v>
      </c>
    </row>
    <row r="94" spans="1:13" ht="25.5" customHeight="1" thickBot="1">
      <c r="A94" s="461" t="str">
        <f>Languages!L43</f>
        <v>P2P (INTERNAL) USE ONLY</v>
      </c>
      <c r="B94" s="462"/>
      <c r="C94" s="462"/>
      <c r="D94" s="462"/>
      <c r="E94" s="462"/>
      <c r="F94" s="462"/>
      <c r="G94" s="462"/>
      <c r="H94" s="462"/>
      <c r="I94" s="462"/>
      <c r="J94" s="462"/>
      <c r="K94" s="462"/>
      <c r="L94" s="463"/>
      <c r="M94" s="1" t="s">
        <v>0</v>
      </c>
    </row>
    <row r="95" spans="1:13">
      <c r="A95" s="158"/>
      <c r="B95" s="405" t="s">
        <v>33</v>
      </c>
      <c r="C95" s="405"/>
      <c r="D95" s="405"/>
      <c r="E95" s="405"/>
      <c r="F95" s="430" t="str">
        <f>IF(E18&gt;"",E18,"")</f>
        <v/>
      </c>
      <c r="G95" s="430"/>
      <c r="H95" s="430"/>
      <c r="I95" s="430"/>
      <c r="J95" s="430"/>
      <c r="K95" s="430"/>
      <c r="L95" s="159"/>
      <c r="M95" s="1" t="s">
        <v>0</v>
      </c>
    </row>
    <row r="96" spans="1:13" ht="29.4" customHeight="1">
      <c r="A96" s="126"/>
      <c r="B96" s="406" t="s">
        <v>34</v>
      </c>
      <c r="C96" s="406"/>
      <c r="D96" s="406"/>
      <c r="E96" s="406"/>
      <c r="F96" s="399" t="str">
        <f>IF(E9=Languages!L108,"",E9)</f>
        <v/>
      </c>
      <c r="G96" s="399"/>
      <c r="H96" s="399"/>
      <c r="I96" s="399"/>
      <c r="J96" s="399"/>
      <c r="K96" s="399"/>
      <c r="L96" s="91"/>
      <c r="M96" s="1" t="s">
        <v>0</v>
      </c>
    </row>
    <row r="97" spans="1:13">
      <c r="A97" s="126"/>
      <c r="B97" s="406" t="s">
        <v>35</v>
      </c>
      <c r="C97" s="406"/>
      <c r="D97" s="406"/>
      <c r="E97" s="406"/>
      <c r="F97" s="399" t="str">
        <f>IF(ledger1&lt;&gt;"Select One…",ledger1,"")</f>
        <v>South Africa</v>
      </c>
      <c r="G97" s="399"/>
      <c r="H97" s="399"/>
      <c r="I97" s="399"/>
      <c r="J97" s="399"/>
      <c r="K97" s="399"/>
      <c r="L97" s="91"/>
      <c r="M97" s="1" t="s">
        <v>0</v>
      </c>
    </row>
    <row r="98" spans="1:13">
      <c r="A98" s="126"/>
      <c r="B98" s="406" t="s">
        <v>36</v>
      </c>
      <c r="C98" s="406"/>
      <c r="D98" s="406"/>
      <c r="E98" s="406"/>
      <c r="F98" s="399" t="str">
        <f>IF('VM Team Conditions'!D1&gt;"",'VM Team Conditions'!D1,"")</f>
        <v/>
      </c>
      <c r="G98" s="399"/>
      <c r="H98" s="399"/>
      <c r="I98" s="399"/>
      <c r="J98" s="399"/>
      <c r="K98" s="399"/>
      <c r="L98" s="91"/>
      <c r="M98" s="1" t="s">
        <v>0</v>
      </c>
    </row>
    <row r="99" spans="1:13">
      <c r="A99" s="126"/>
      <c r="B99" s="406" t="s">
        <v>37</v>
      </c>
      <c r="C99" s="406"/>
      <c r="D99" s="406"/>
      <c r="E99" s="406"/>
      <c r="F99" s="399">
        <f>I11</f>
        <v>0</v>
      </c>
      <c r="G99" s="399"/>
      <c r="H99" s="399"/>
      <c r="I99" s="399"/>
      <c r="J99" s="399"/>
      <c r="K99" s="399"/>
      <c r="L99" s="91"/>
      <c r="M99" s="1" t="s">
        <v>0</v>
      </c>
    </row>
  </sheetData>
  <sheetProtection algorithmName="SHA-512" hashValue="jFXFRVS9qW5M5ITd1R6MU14rS9X5a87oct6HSUnlwgNNVDSLQZR/IA6yDK1t/IqzuKQSBQuh30uHLKPqqrnNsA==" saltValue="McOrUEHEUCShoymbRcFCNg==" spinCount="100000" sheet="1" objects="1" scenarios="1"/>
  <mergeCells count="173">
    <mergeCell ref="B99:E99"/>
    <mergeCell ref="F99:K99"/>
    <mergeCell ref="B96:E96"/>
    <mergeCell ref="F96:K96"/>
    <mergeCell ref="B97:E97"/>
    <mergeCell ref="F97:K97"/>
    <mergeCell ref="B98:E98"/>
    <mergeCell ref="F98:K98"/>
    <mergeCell ref="B82:C82"/>
    <mergeCell ref="D82:L82"/>
    <mergeCell ref="B83:C83"/>
    <mergeCell ref="D83:L83"/>
    <mergeCell ref="B90:C90"/>
    <mergeCell ref="D90:L90"/>
    <mergeCell ref="A94:L94"/>
    <mergeCell ref="B95:E95"/>
    <mergeCell ref="F95:K95"/>
    <mergeCell ref="A91:L91"/>
    <mergeCell ref="B93:E93"/>
    <mergeCell ref="F93:K93"/>
    <mergeCell ref="B89:C89"/>
    <mergeCell ref="B92:K92"/>
    <mergeCell ref="B81:C81"/>
    <mergeCell ref="D81:L81"/>
    <mergeCell ref="C84:J84"/>
    <mergeCell ref="B88:C88"/>
    <mergeCell ref="D88:L88"/>
    <mergeCell ref="A85:L85"/>
    <mergeCell ref="B86:C86"/>
    <mergeCell ref="D86:L86"/>
    <mergeCell ref="B87:C87"/>
    <mergeCell ref="D87:L87"/>
    <mergeCell ref="B74:F74"/>
    <mergeCell ref="G74:L74"/>
    <mergeCell ref="B78:C78"/>
    <mergeCell ref="D78:L78"/>
    <mergeCell ref="B79:H79"/>
    <mergeCell ref="I79:K79"/>
    <mergeCell ref="B80:C80"/>
    <mergeCell ref="D80:L80"/>
    <mergeCell ref="B75:F75"/>
    <mergeCell ref="G75:L75"/>
    <mergeCell ref="B76:F76"/>
    <mergeCell ref="G76:K76"/>
    <mergeCell ref="B77:C77"/>
    <mergeCell ref="D77:L77"/>
    <mergeCell ref="B73:F73"/>
    <mergeCell ref="G73:H73"/>
    <mergeCell ref="I73:L73"/>
    <mergeCell ref="B70:F70"/>
    <mergeCell ref="G70:L70"/>
    <mergeCell ref="B72:F72"/>
    <mergeCell ref="G72:L72"/>
    <mergeCell ref="N73:S73"/>
    <mergeCell ref="B40:F40"/>
    <mergeCell ref="G40:L40"/>
    <mergeCell ref="B41:F41"/>
    <mergeCell ref="G41:L41"/>
    <mergeCell ref="B42:F42"/>
    <mergeCell ref="G42:L42"/>
    <mergeCell ref="B43:F43"/>
    <mergeCell ref="G43:L43"/>
    <mergeCell ref="B44:I44"/>
    <mergeCell ref="J44:K44"/>
    <mergeCell ref="B69:F69"/>
    <mergeCell ref="G69:L69"/>
    <mergeCell ref="B71:F71"/>
    <mergeCell ref="B68:K68"/>
    <mergeCell ref="B61:F61"/>
    <mergeCell ref="G61:L61"/>
    <mergeCell ref="B62:F62"/>
    <mergeCell ref="G62:L62"/>
    <mergeCell ref="B66:F66"/>
    <mergeCell ref="G66:L66"/>
    <mergeCell ref="B67:F67"/>
    <mergeCell ref="G67:L67"/>
    <mergeCell ref="B63:F63"/>
    <mergeCell ref="G63:L63"/>
    <mergeCell ref="B60:F60"/>
    <mergeCell ref="G60:L60"/>
    <mergeCell ref="B65:F65"/>
    <mergeCell ref="G65:L65"/>
    <mergeCell ref="B64:F64"/>
    <mergeCell ref="G64:L64"/>
    <mergeCell ref="B56:F56"/>
    <mergeCell ref="G56:K56"/>
    <mergeCell ref="B57:F57"/>
    <mergeCell ref="G57:K57"/>
    <mergeCell ref="B58:K58"/>
    <mergeCell ref="C59:K59"/>
    <mergeCell ref="B54:F54"/>
    <mergeCell ref="G54:K54"/>
    <mergeCell ref="B55:F55"/>
    <mergeCell ref="G55:K55"/>
    <mergeCell ref="C51:K51"/>
    <mergeCell ref="C52:K52"/>
    <mergeCell ref="C53:K53"/>
    <mergeCell ref="G39:L39"/>
    <mergeCell ref="B33:K33"/>
    <mergeCell ref="A34:L34"/>
    <mergeCell ref="B35:K35"/>
    <mergeCell ref="B36:J36"/>
    <mergeCell ref="B37:H37"/>
    <mergeCell ref="J37:K37"/>
    <mergeCell ref="B38:F38"/>
    <mergeCell ref="G38:L38"/>
    <mergeCell ref="B39:F39"/>
    <mergeCell ref="B45:K45"/>
    <mergeCell ref="C46:K46"/>
    <mergeCell ref="C47:K47"/>
    <mergeCell ref="C48:K48"/>
    <mergeCell ref="C49:K49"/>
    <mergeCell ref="C50:K50"/>
    <mergeCell ref="B30:K30"/>
    <mergeCell ref="B31:J31"/>
    <mergeCell ref="B32:D32"/>
    <mergeCell ref="E32:L32"/>
    <mergeCell ref="B27:I27"/>
    <mergeCell ref="J27:K27"/>
    <mergeCell ref="B28:I28"/>
    <mergeCell ref="J28:K28"/>
    <mergeCell ref="B29:I29"/>
    <mergeCell ref="J29:K29"/>
    <mergeCell ref="B24:D24"/>
    <mergeCell ref="E24:L24"/>
    <mergeCell ref="B25:G25"/>
    <mergeCell ref="H25:K25"/>
    <mergeCell ref="B26:I26"/>
    <mergeCell ref="J26:K26"/>
    <mergeCell ref="B17:C17"/>
    <mergeCell ref="D17:K17"/>
    <mergeCell ref="B18:D18"/>
    <mergeCell ref="E18:L18"/>
    <mergeCell ref="B21:I21"/>
    <mergeCell ref="J21:K21"/>
    <mergeCell ref="B22:D22"/>
    <mergeCell ref="E22:K22"/>
    <mergeCell ref="B23:I23"/>
    <mergeCell ref="J23:K23"/>
    <mergeCell ref="B19:D19"/>
    <mergeCell ref="E19:L19"/>
    <mergeCell ref="B20:D20"/>
    <mergeCell ref="E20:K20"/>
    <mergeCell ref="B15:D15"/>
    <mergeCell ref="E15:K15"/>
    <mergeCell ref="B16:D16"/>
    <mergeCell ref="E16:K16"/>
    <mergeCell ref="B12:D12"/>
    <mergeCell ref="E12:K12"/>
    <mergeCell ref="B13:D13"/>
    <mergeCell ref="E13:L13"/>
    <mergeCell ref="B14:D14"/>
    <mergeCell ref="E14:K14"/>
    <mergeCell ref="A1:L1"/>
    <mergeCell ref="A2:L2"/>
    <mergeCell ref="A3:K3"/>
    <mergeCell ref="B4:D4"/>
    <mergeCell ref="E4:K4"/>
    <mergeCell ref="B5:K5"/>
    <mergeCell ref="A10:A11"/>
    <mergeCell ref="B10:D10"/>
    <mergeCell ref="E10:H10"/>
    <mergeCell ref="I10:L10"/>
    <mergeCell ref="B11:D11"/>
    <mergeCell ref="E11:H11"/>
    <mergeCell ref="I11:L11"/>
    <mergeCell ref="A6:L6"/>
    <mergeCell ref="B7:H7"/>
    <mergeCell ref="J7:K7"/>
    <mergeCell ref="B8:D8"/>
    <mergeCell ref="E8:L8"/>
    <mergeCell ref="B9:D9"/>
    <mergeCell ref="E9:K9"/>
  </mergeCells>
  <conditionalFormatting sqref="A84:C84 K84:L84">
    <cfRule type="expression" dxfId="24" priority="32">
      <formula>$A$84="*"</formula>
    </cfRule>
  </conditionalFormatting>
  <conditionalFormatting sqref="A86:F88">
    <cfRule type="expression" dxfId="23" priority="69">
      <formula>#REF!="YES"</formula>
    </cfRule>
  </conditionalFormatting>
  <conditionalFormatting sqref="A10:K11">
    <cfRule type="expression" dxfId="22" priority="42">
      <formula>$A$10&lt;&gt;"*"</formula>
    </cfRule>
  </conditionalFormatting>
  <conditionalFormatting sqref="A13:K13">
    <cfRule type="expression" dxfId="21" priority="40">
      <formula>$A$13&lt;&gt;"*"</formula>
    </cfRule>
  </conditionalFormatting>
  <conditionalFormatting sqref="A32:K32">
    <cfRule type="expression" dxfId="20" priority="57">
      <formula>$A$32&lt;&gt;"*"</formula>
    </cfRule>
  </conditionalFormatting>
  <conditionalFormatting sqref="A75:K75">
    <cfRule type="expression" dxfId="19" priority="104">
      <formula>$A$75&lt;&gt;"*"</formula>
    </cfRule>
  </conditionalFormatting>
  <conditionalFormatting sqref="A12:L12">
    <cfRule type="expression" dxfId="15" priority="41">
      <formula>$A$12&lt;&gt;"*"</formula>
    </cfRule>
  </conditionalFormatting>
  <conditionalFormatting sqref="A21:L21">
    <cfRule type="expression" dxfId="14" priority="9">
      <formula>$A$21&lt;&gt;"*"</formula>
    </cfRule>
  </conditionalFormatting>
  <conditionalFormatting sqref="A22:L22">
    <cfRule type="expression" dxfId="13" priority="23">
      <formula>$A$22&lt;&gt;"*"</formula>
    </cfRule>
  </conditionalFormatting>
  <conditionalFormatting sqref="A23:L23">
    <cfRule type="expression" dxfId="12" priority="22">
      <formula>$A$23&lt;&gt;"*"</formula>
    </cfRule>
  </conditionalFormatting>
  <conditionalFormatting sqref="A24:L24">
    <cfRule type="expression" dxfId="11" priority="88">
      <formula>$A$24&lt;&gt;"*"</formula>
    </cfRule>
  </conditionalFormatting>
  <conditionalFormatting sqref="A29:L29">
    <cfRule type="expression" dxfId="9" priority="39">
      <formula>$A$29&lt;&gt;"*"</formula>
    </cfRule>
  </conditionalFormatting>
  <conditionalFormatting sqref="A30:L30">
    <cfRule type="expression" dxfId="8" priority="43">
      <formula>$A$30&lt;&gt;"*"</formula>
    </cfRule>
  </conditionalFormatting>
  <conditionalFormatting sqref="A36:L36">
    <cfRule type="expression" dxfId="7" priority="25">
      <formula>$A$36="*"</formula>
    </cfRule>
  </conditionalFormatting>
  <conditionalFormatting sqref="A64:L64">
    <cfRule type="expression" dxfId="5" priority="26">
      <formula>$A$64&lt;&gt;"*"</formula>
    </cfRule>
  </conditionalFormatting>
  <conditionalFormatting sqref="A76:L76">
    <cfRule type="expression" dxfId="4" priority="19">
      <formula>$A$76&lt;&gt;"*"</formula>
    </cfRule>
  </conditionalFormatting>
  <conditionalFormatting sqref="A94:L99">
    <cfRule type="expression" dxfId="3" priority="123">
      <formula>$E$15="China"</formula>
    </cfRule>
  </conditionalFormatting>
  <conditionalFormatting sqref="B89 D89:F89 A89:A90">
    <cfRule type="expression" dxfId="2" priority="80">
      <formula>#REF!="YES"</formula>
    </cfRule>
  </conditionalFormatting>
  <conditionalFormatting sqref="B90:F90">
    <cfRule type="expression" dxfId="1" priority="79">
      <formula>#REF!="YES"</formula>
    </cfRule>
  </conditionalFormatting>
  <conditionalFormatting sqref="B70:L70 G71:L71">
    <cfRule type="expression" dxfId="0" priority="24">
      <formula>$A$70&lt;&gt;"*"</formula>
    </cfRule>
  </conditionalFormatting>
  <dataValidations count="2">
    <dataValidation type="list" allowBlank="1" showInputMessage="1" showErrorMessage="1" sqref="I79 G54:K55" xr:uid="{4BC7E742-68C6-4E01-B374-03DE3049B651}">
      <formula1>countries</formula1>
    </dataValidation>
    <dataValidation type="list" allowBlank="1" showInputMessage="1" showErrorMessage="1" sqref="K31 J29 J21:K21 J26:K27 J44:K44" xr:uid="{F2A6FAF5-03F1-4243-922D-A354C916F29C}">
      <formula1>yesno</formula1>
    </dataValidation>
  </dataValidations>
  <hyperlinks>
    <hyperlink ref="K36" location="'Invoicing Requirements'!A2" display="Click" xr:uid="{CA239515-34CA-4836-BC6B-BCC6B0C537C5}"/>
    <hyperlink ref="F93" r:id="rId1" xr:uid="{E27A56FD-E44B-4CE0-A7A1-71113BE7D7C9}"/>
  </hyperlinks>
  <printOptions horizontalCentered="1"/>
  <pageMargins left="0.25" right="0.25" top="0.25" bottom="0.25" header="0.3" footer="0.3"/>
  <pageSetup paperSize="9" scale="90" orientation="portrait" r:id="rId2"/>
  <drawing r:id="rId3"/>
  <extLst>
    <ext xmlns:x14="http://schemas.microsoft.com/office/spreadsheetml/2009/9/main" uri="{78C0D931-6437-407d-A8EE-F0AAD7539E65}">
      <x14:conditionalFormattings>
        <x14:conditionalFormatting xmlns:xm="http://schemas.microsoft.com/office/excel/2006/main">
          <x14:cfRule type="expression" priority="98" id="{48C69D75-2F51-4E46-9C66-34569FEBAC4D}">
            <xm:f>Conditions!$W$1=0</xm:f>
            <x14:dxf>
              <font>
                <color rgb="FFDCDCDC"/>
              </font>
              <fill>
                <patternFill>
                  <bgColor rgb="FFDCDCDC"/>
                </patternFill>
              </fill>
            </x14:dxf>
          </x14:cfRule>
          <x14:cfRule type="expression" priority="99" id="{D8D7D118-C249-4881-A609-091CC2DEE2A0}">
            <xm:f>Conditions!$V$1=0</xm:f>
            <x14:dxf>
              <font>
                <color rgb="FFDCDCDC"/>
              </font>
              <fill>
                <patternFill>
                  <bgColor rgb="FFDCDCDC"/>
                </patternFill>
              </fill>
            </x14:dxf>
          </x14:cfRule>
          <xm:sqref>A81:K81</xm:sqref>
        </x14:conditionalFormatting>
        <x14:conditionalFormatting xmlns:xm="http://schemas.microsoft.com/office/excel/2006/main">
          <x14:cfRule type="expression" priority="96" id="{B22261CE-928F-4E0D-82C4-F03F5A194A88}">
            <xm:f>Conditions!$AC$1=0</xm:f>
            <x14:dxf>
              <font>
                <color rgb="FFDCDCDC"/>
              </font>
              <fill>
                <patternFill>
                  <bgColor rgb="FFDCDCDC"/>
                </patternFill>
              </fill>
            </x14:dxf>
          </x14:cfRule>
          <xm:sqref>A82:K82</xm:sqref>
        </x14:conditionalFormatting>
        <x14:conditionalFormatting xmlns:xm="http://schemas.microsoft.com/office/excel/2006/main">
          <x14:cfRule type="expression" priority="1" id="{3F5F0BA2-A332-4E70-AAE8-3A5418AE2EC0}">
            <xm:f>$D$17=Languages!$L$127</xm:f>
            <x14:dxf>
              <font>
                <color theme="0" tint="-0.14996795556505021"/>
              </font>
              <fill>
                <patternFill>
                  <bgColor theme="0" tint="-0.14996795556505021"/>
                </patternFill>
              </fill>
            </x14:dxf>
          </x14:cfRule>
          <xm:sqref>A25:L28</xm:sqref>
        </x14:conditionalFormatting>
        <x14:conditionalFormatting xmlns:xm="http://schemas.microsoft.com/office/excel/2006/main">
          <x14:cfRule type="expression" priority="2" id="{A88D3B73-D0D7-4782-8B4D-198866470BAE}">
            <xm:f>$D$17=Languages!$L$127</xm:f>
            <x14:dxf>
              <font>
                <color theme="0" tint="-0.14996795556505021"/>
              </font>
              <fill>
                <patternFill>
                  <bgColor theme="0" tint="-0.14996795556505021"/>
                </patternFill>
              </fill>
            </x14:dxf>
          </x14:cfRule>
          <xm:sqref>A57:L59</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xr:uid="{0F5507A1-42BB-4FB0-B94D-AC3448A95BD5}">
          <x14:formula1>
            <xm:f>'Drop Down Lists'!$R$1:$R$2</xm:f>
          </x14:formula1>
          <xm:sqref>E4:K4</xm:sqref>
        </x14:dataValidation>
        <x14:dataValidation type="list" allowBlank="1" showInputMessage="1" showErrorMessage="1" xr:uid="{F93DF12C-1014-4B49-9464-A2A6AB7A298D}">
          <x14:formula1>
            <xm:f>'Drop Down Lists'!$D$54:$D$64</xm:f>
          </x14:formula1>
          <xm:sqref>G57:K57</xm:sqref>
        </x14:dataValidation>
        <x14:dataValidation type="list" showInputMessage="1" showErrorMessage="1" errorTitle="Incorrect Value" error="You have entered an incorrect value for this field.  Select a valid option from the drop down list." xr:uid="{43BBBDB5-207B-4751-B5D8-043DE30BAF37}">
          <x14:formula1>
            <xm:f>'Drop Down Lists'!$D$1:$D$20</xm:f>
          </x14:formula1>
          <xm:sqref>D17:K17</xm:sqref>
        </x14:dataValidation>
        <x14:dataValidation type="list" allowBlank="1" showInputMessage="1" showErrorMessage="1" xr:uid="{1B73D8E2-D7F3-41D0-87FF-2B510D78D19C}">
          <x14:formula1>
            <xm:f>'Drop Down Lists'!$E$55:$E$61</xm:f>
          </x14:formula1>
          <xm:sqref>G56:K56</xm:sqref>
        </x14:dataValidation>
        <x14:dataValidation type="list" allowBlank="1" showInputMessage="1" showErrorMessage="1" xr:uid="{73DC48C8-583F-4B85-9885-C34756DC0B49}">
          <x14:formula1>
            <xm:f>'Drop Down Lists'!$G$17:$G$20</xm:f>
          </x14:formula1>
          <xm:sqref>J28:K28</xm:sqref>
        </x14:dataValidation>
        <x14:dataValidation type="list" allowBlank="1" showInputMessage="1" showErrorMessage="1" xr:uid="{C748E110-B721-44DD-9565-1CF3CD775D0B}">
          <x14:formula1>
            <xm:f>'Drop Down Lists'!$F$45:$F$51</xm:f>
          </x14:formula1>
          <xm:sqref>H25:K25</xm:sqref>
        </x14:dataValidation>
        <x14:dataValidation type="list" allowBlank="1" showInputMessage="1" showErrorMessage="1" xr:uid="{B3509172-415C-4516-BAF8-47498A5C4887}">
          <x14:formula1>
            <xm:f>'Drop Down Lists'!$AF$3:$AF$24</xm:f>
          </x14:formula1>
          <xm:sqref>G76:K76</xm:sqref>
        </x14:dataValidation>
        <x14:dataValidation type="list" allowBlank="1" showInputMessage="1" showErrorMessage="1" xr:uid="{2D83612C-87BD-4506-A0EB-8A8B7F19344C}">
          <x14:formula1>
            <xm:f>'Drop Down Lists'!$C$1:$C$6</xm:f>
          </x14:formula1>
          <xm:sqref>E12:K12</xm:sqref>
        </x14:dataValidation>
        <x14:dataValidation type="list" allowBlank="1" showErrorMessage="1" errorTitle="Incorrect Value" error="You have entered an incorrect value for this field.  Please select a value from the drop down list." xr:uid="{FC7A802B-E9D1-4664-9B6D-87657628B44C}">
          <x14:formula1>
            <xm:f>'Drop Down Lists'!$B$1:$B$4</xm:f>
          </x14:formula1>
          <xm:sqref>E9:K9</xm:sqref>
        </x14:dataValidation>
        <x14:dataValidation type="list" allowBlank="1" showInputMessage="1" showErrorMessage="1" xr:uid="{198635AE-15B6-4103-896F-A961C047DDDB}">
          <x14:formula1>
            <xm:f>'Drop Down Lists'!$M$20:$M$23</xm:f>
          </x14:formula1>
          <xm:sqref>E14:K14</xm:sqref>
        </x14:dataValidation>
        <x14:dataValidation type="list" allowBlank="1" showInputMessage="1" showErrorMessage="1" xr:uid="{070C8403-AD98-477B-B95A-5506F1D440AB}">
          <x14:formula1>
            <xm:f>'Drop Down Lists'!$L$30:$L$49</xm:f>
          </x14:formula1>
          <xm:sqref>C59</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29B313-8C5B-4D9E-8B21-C614E769B67C}">
  <sheetPr codeName="Sheet3">
    <pageSetUpPr fitToPage="1"/>
  </sheetPr>
  <dimension ref="A1:J29"/>
  <sheetViews>
    <sheetView showGridLines="0" zoomScaleNormal="100" workbookViewId="0"/>
  </sheetViews>
  <sheetFormatPr baseColWidth="10" defaultColWidth="9.109375" defaultRowHeight="13.2"/>
  <cols>
    <col min="1" max="1" width="41.109375" style="61" customWidth="1"/>
    <col min="2" max="3" width="14.88671875" style="66" customWidth="1"/>
    <col min="4" max="4" width="14.88671875" style="67" customWidth="1"/>
    <col min="5" max="7" width="14.88671875" style="66" customWidth="1"/>
    <col min="8" max="8" width="16.44140625" style="54" bestFit="1" customWidth="1"/>
    <col min="9" max="9" width="9.109375" style="54" customWidth="1"/>
    <col min="10" max="10" width="32.109375" style="54" hidden="1" customWidth="1"/>
    <col min="11" max="11" width="9.109375" style="54" customWidth="1"/>
    <col min="12" max="16384" width="9.109375" style="54"/>
  </cols>
  <sheetData>
    <row r="1" spans="1:10" ht="14.4">
      <c r="A1" s="79" t="s">
        <v>2309</v>
      </c>
    </row>
    <row r="2" spans="1:10" ht="15" thickBot="1">
      <c r="A2" s="79"/>
    </row>
    <row r="3" spans="1:10" ht="14.4">
      <c r="A3" s="583" t="s">
        <v>2310</v>
      </c>
      <c r="B3" s="584"/>
      <c r="C3" s="584"/>
      <c r="D3" s="584"/>
      <c r="E3" s="584"/>
      <c r="F3" s="584"/>
      <c r="G3" s="585"/>
    </row>
    <row r="4" spans="1:10" ht="15" thickBot="1">
      <c r="A4" s="55" t="s">
        <v>2311</v>
      </c>
      <c r="B4" s="586"/>
      <c r="C4" s="586"/>
      <c r="D4" s="586"/>
      <c r="E4" s="586"/>
      <c r="F4" s="586"/>
      <c r="G4" s="587"/>
    </row>
    <row r="5" spans="1:10" ht="27.75" customHeight="1" thickBot="1">
      <c r="A5" s="588" t="s">
        <v>2312</v>
      </c>
      <c r="B5" s="589"/>
      <c r="C5" s="589"/>
      <c r="D5" s="589"/>
      <c r="E5" s="589"/>
      <c r="F5" s="589"/>
      <c r="G5" s="590"/>
    </row>
    <row r="6" spans="1:10" ht="24.9" customHeight="1" thickBot="1">
      <c r="A6" s="627" t="s">
        <v>2313</v>
      </c>
      <c r="B6" s="628"/>
      <c r="C6" s="628"/>
      <c r="D6" s="628"/>
      <c r="E6" s="628"/>
      <c r="F6" s="628"/>
      <c r="G6" s="629"/>
    </row>
    <row r="7" spans="1:10" ht="15" thickBot="1">
      <c r="A7" s="591" t="s">
        <v>2314</v>
      </c>
      <c r="B7" s="592"/>
      <c r="C7" s="592"/>
      <c r="D7" s="592"/>
      <c r="E7" s="592"/>
      <c r="F7" s="592"/>
      <c r="G7" s="593"/>
    </row>
    <row r="8" spans="1:10" ht="29.4" thickBot="1">
      <c r="A8" s="138" t="s">
        <v>2315</v>
      </c>
      <c r="B8" s="597"/>
      <c r="C8" s="598"/>
      <c r="D8" s="57" t="s">
        <v>2316</v>
      </c>
      <c r="E8" s="598"/>
      <c r="F8" s="598"/>
      <c r="G8" s="599"/>
      <c r="H8" s="58"/>
      <c r="J8" t="s">
        <v>2317</v>
      </c>
    </row>
    <row r="9" spans="1:10" ht="15" thickBot="1">
      <c r="A9" s="62" t="s">
        <v>2318</v>
      </c>
      <c r="B9" s="600"/>
      <c r="C9" s="601"/>
      <c r="D9" s="602"/>
      <c r="E9" s="601"/>
      <c r="F9" s="601"/>
      <c r="G9" s="603"/>
      <c r="J9" t="s">
        <v>2319</v>
      </c>
    </row>
    <row r="10" spans="1:10" s="61" customFormat="1" ht="15" thickBot="1">
      <c r="A10" s="62" t="s">
        <v>2320</v>
      </c>
      <c r="B10" s="604"/>
      <c r="C10" s="605"/>
      <c r="D10" s="60" t="s">
        <v>2321</v>
      </c>
      <c r="E10" s="606" t="s">
        <v>2322</v>
      </c>
      <c r="F10" s="606"/>
      <c r="G10" s="607"/>
      <c r="J10" t="s">
        <v>2323</v>
      </c>
    </row>
    <row r="11" spans="1:10" s="61" customFormat="1" ht="15" thickBot="1">
      <c r="A11" s="62" t="s">
        <v>2324</v>
      </c>
      <c r="B11" s="608"/>
      <c r="C11" s="609"/>
      <c r="D11" s="62" t="s">
        <v>2325</v>
      </c>
      <c r="E11" s="610"/>
      <c r="F11" s="610"/>
      <c r="G11" s="140"/>
      <c r="I11" s="66"/>
      <c r="J11" t="s">
        <v>2326</v>
      </c>
    </row>
    <row r="12" spans="1:10" s="61" customFormat="1" ht="29.4" thickBot="1">
      <c r="A12" s="62" t="s">
        <v>2327</v>
      </c>
      <c r="B12" s="611"/>
      <c r="C12" s="612"/>
      <c r="D12" s="62" t="s">
        <v>2328</v>
      </c>
      <c r="E12" s="611"/>
      <c r="F12" s="612"/>
      <c r="G12" s="613"/>
      <c r="J12" t="s">
        <v>2329</v>
      </c>
    </row>
    <row r="13" spans="1:10" s="61" customFormat="1" ht="29.4" thickBot="1">
      <c r="A13" s="62" t="s">
        <v>2330</v>
      </c>
      <c r="B13" s="614"/>
      <c r="C13" s="615"/>
      <c r="D13" s="62" t="s">
        <v>2331</v>
      </c>
      <c r="E13" s="614"/>
      <c r="F13" s="614"/>
      <c r="G13" s="641"/>
      <c r="J13" t="s">
        <v>2332</v>
      </c>
    </row>
    <row r="14" spans="1:10" ht="15" thickBot="1">
      <c r="A14" s="591" t="s">
        <v>2333</v>
      </c>
      <c r="B14" s="592"/>
      <c r="C14" s="592"/>
      <c r="D14" s="592"/>
      <c r="E14" s="592"/>
      <c r="F14" s="592"/>
      <c r="G14" s="593"/>
      <c r="J14" t="s">
        <v>2334</v>
      </c>
    </row>
    <row r="15" spans="1:10" ht="29.4" thickBot="1">
      <c r="A15" s="56" t="s">
        <v>2315</v>
      </c>
      <c r="B15" s="594"/>
      <c r="C15" s="595"/>
      <c r="D15" s="63" t="s">
        <v>2316</v>
      </c>
      <c r="E15" s="595"/>
      <c r="F15" s="595"/>
      <c r="G15" s="596"/>
      <c r="J15" t="s">
        <v>2335</v>
      </c>
    </row>
    <row r="16" spans="1:10" ht="15" thickBot="1">
      <c r="A16" s="59" t="s">
        <v>2318</v>
      </c>
      <c r="B16" s="642"/>
      <c r="C16" s="643"/>
      <c r="D16" s="644"/>
      <c r="E16" s="643"/>
      <c r="F16" s="643"/>
      <c r="G16" s="645"/>
      <c r="J16" t="s">
        <v>2336</v>
      </c>
    </row>
    <row r="17" spans="1:10" s="61" customFormat="1" ht="15" thickBot="1">
      <c r="A17" s="59" t="s">
        <v>2320</v>
      </c>
      <c r="B17" s="639"/>
      <c r="C17" s="640"/>
      <c r="D17" s="64" t="s">
        <v>2321</v>
      </c>
      <c r="E17" s="619" t="s">
        <v>2322</v>
      </c>
      <c r="F17" s="619"/>
      <c r="G17" s="620"/>
      <c r="J17" t="s">
        <v>2337</v>
      </c>
    </row>
    <row r="18" spans="1:10" s="61" customFormat="1" ht="15" thickBot="1">
      <c r="A18" s="59" t="s">
        <v>2324</v>
      </c>
      <c r="B18" s="621"/>
      <c r="C18" s="622"/>
      <c r="D18" s="59" t="s">
        <v>2325</v>
      </c>
      <c r="E18" s="623"/>
      <c r="F18" s="623"/>
      <c r="G18" s="65"/>
      <c r="J18" t="s">
        <v>2338</v>
      </c>
    </row>
    <row r="19" spans="1:10" s="61" customFormat="1" ht="29.4" thickBot="1">
      <c r="A19" s="59" t="s">
        <v>2327</v>
      </c>
      <c r="B19" s="624"/>
      <c r="C19" s="625"/>
      <c r="D19" s="59" t="s">
        <v>2328</v>
      </c>
      <c r="E19" s="624"/>
      <c r="F19" s="625"/>
      <c r="G19" s="626"/>
      <c r="J19" t="s">
        <v>2339</v>
      </c>
    </row>
    <row r="20" spans="1:10" s="61" customFormat="1" ht="29.4" thickBot="1">
      <c r="A20" s="59" t="s">
        <v>2330</v>
      </c>
      <c r="B20" s="616"/>
      <c r="C20" s="617"/>
      <c r="D20" s="59" t="s">
        <v>2331</v>
      </c>
      <c r="E20" s="616"/>
      <c r="F20" s="616"/>
      <c r="G20" s="618"/>
      <c r="J20" t="s">
        <v>2340</v>
      </c>
    </row>
    <row r="21" spans="1:10" ht="15" thickBot="1">
      <c r="A21" s="591" t="s">
        <v>2341</v>
      </c>
      <c r="B21" s="592"/>
      <c r="C21" s="592"/>
      <c r="D21" s="592"/>
      <c r="E21" s="592"/>
      <c r="F21" s="592"/>
      <c r="G21" s="593"/>
      <c r="J21" t="s">
        <v>2342</v>
      </c>
    </row>
    <row r="22" spans="1:10" ht="29.4" thickBot="1">
      <c r="A22" s="56" t="s">
        <v>2315</v>
      </c>
      <c r="B22" s="594"/>
      <c r="C22" s="595"/>
      <c r="D22" s="63" t="s">
        <v>2316</v>
      </c>
      <c r="E22" s="595"/>
      <c r="F22" s="595"/>
      <c r="G22" s="596"/>
      <c r="J22" t="s">
        <v>2343</v>
      </c>
    </row>
    <row r="23" spans="1:10" ht="15" thickBot="1">
      <c r="A23" s="59" t="s">
        <v>2318</v>
      </c>
      <c r="B23" s="642"/>
      <c r="C23" s="643"/>
      <c r="D23" s="644"/>
      <c r="E23" s="643"/>
      <c r="F23" s="643"/>
      <c r="G23" s="645"/>
      <c r="J23" t="s">
        <v>2344</v>
      </c>
    </row>
    <row r="24" spans="1:10" s="61" customFormat="1" ht="15" thickBot="1">
      <c r="A24" s="59" t="s">
        <v>2320</v>
      </c>
      <c r="B24" s="639"/>
      <c r="C24" s="640"/>
      <c r="D24" s="64" t="s">
        <v>2321</v>
      </c>
      <c r="E24" s="619" t="s">
        <v>2322</v>
      </c>
      <c r="F24" s="619"/>
      <c r="G24" s="620"/>
      <c r="J24" t="s">
        <v>2345</v>
      </c>
    </row>
    <row r="25" spans="1:10" s="61" customFormat="1" ht="15" thickBot="1">
      <c r="A25" s="59" t="s">
        <v>2324</v>
      </c>
      <c r="B25" s="621"/>
      <c r="C25" s="622"/>
      <c r="D25" s="59" t="s">
        <v>2325</v>
      </c>
      <c r="E25" s="623"/>
      <c r="F25" s="623"/>
      <c r="G25" s="65"/>
      <c r="J25" t="s">
        <v>2346</v>
      </c>
    </row>
    <row r="26" spans="1:10" s="61" customFormat="1" ht="29.4" thickBot="1">
      <c r="A26" s="59" t="s">
        <v>2327</v>
      </c>
      <c r="B26" s="624"/>
      <c r="C26" s="625"/>
      <c r="D26" s="59" t="s">
        <v>2328</v>
      </c>
      <c r="E26" s="624"/>
      <c r="F26" s="625"/>
      <c r="G26" s="626"/>
      <c r="J26" t="s">
        <v>2347</v>
      </c>
    </row>
    <row r="27" spans="1:10" s="61" customFormat="1" ht="28.8">
      <c r="A27" s="68" t="s">
        <v>2330</v>
      </c>
      <c r="B27" s="636"/>
      <c r="C27" s="637"/>
      <c r="D27" s="68" t="s">
        <v>2331</v>
      </c>
      <c r="E27" s="636"/>
      <c r="F27" s="636"/>
      <c r="G27" s="638"/>
      <c r="J27" t="s">
        <v>2348</v>
      </c>
    </row>
    <row r="28" spans="1:10" s="61" customFormat="1" ht="14.4">
      <c r="A28" s="633" t="s">
        <v>2349</v>
      </c>
      <c r="B28" s="634"/>
      <c r="C28" s="634"/>
      <c r="D28" s="634"/>
      <c r="E28" s="634"/>
      <c r="F28" s="634"/>
      <c r="G28" s="635"/>
      <c r="J28"/>
    </row>
    <row r="29" spans="1:10" ht="14.4">
      <c r="A29" s="630" t="s">
        <v>2350</v>
      </c>
      <c r="B29" s="631"/>
      <c r="C29" s="631"/>
      <c r="D29" s="631"/>
      <c r="E29" s="631"/>
      <c r="F29" s="631"/>
      <c r="G29" s="632"/>
    </row>
  </sheetData>
  <sheetProtection selectLockedCells="1"/>
  <mergeCells count="42">
    <mergeCell ref="A6:G6"/>
    <mergeCell ref="A29:G29"/>
    <mergeCell ref="A28:G28"/>
    <mergeCell ref="B27:C27"/>
    <mergeCell ref="E27:G27"/>
    <mergeCell ref="B24:C24"/>
    <mergeCell ref="E24:G24"/>
    <mergeCell ref="B25:C25"/>
    <mergeCell ref="E25:F25"/>
    <mergeCell ref="B26:C26"/>
    <mergeCell ref="E26:G26"/>
    <mergeCell ref="E13:G13"/>
    <mergeCell ref="A14:G14"/>
    <mergeCell ref="B23:G23"/>
    <mergeCell ref="B16:G16"/>
    <mergeCell ref="B17:C17"/>
    <mergeCell ref="E17:G17"/>
    <mergeCell ref="B18:C18"/>
    <mergeCell ref="E18:F18"/>
    <mergeCell ref="B19:C19"/>
    <mergeCell ref="E19:G19"/>
    <mergeCell ref="B20:C20"/>
    <mergeCell ref="E20:G20"/>
    <mergeCell ref="A21:G21"/>
    <mergeCell ref="B22:C22"/>
    <mergeCell ref="E22:G22"/>
    <mergeCell ref="A3:G3"/>
    <mergeCell ref="B4:G4"/>
    <mergeCell ref="A5:G5"/>
    <mergeCell ref="A7:G7"/>
    <mergeCell ref="B15:C15"/>
    <mergeCell ref="E15:G15"/>
    <mergeCell ref="B8:C8"/>
    <mergeCell ref="E8:G8"/>
    <mergeCell ref="B9:G9"/>
    <mergeCell ref="B10:C10"/>
    <mergeCell ref="E10:G10"/>
    <mergeCell ref="B11:C11"/>
    <mergeCell ref="E11:F11"/>
    <mergeCell ref="B12:C12"/>
    <mergeCell ref="E12:G12"/>
    <mergeCell ref="B13:C13"/>
  </mergeCells>
  <dataValidations count="4">
    <dataValidation type="date" operator="greaterThanOrEqual" allowBlank="1" showInputMessage="1" showErrorMessage="1" promptTitle="Date format" prompt="Please enter in dd-mm-yyyy format only" sqref="B8:C8 B15:C15 B22:C22" xr:uid="{97D2A2B7-DE78-45CA-8097-8F14D307D6BB}">
      <formula1>42682</formula1>
    </dataValidation>
    <dataValidation type="textLength" operator="equal" allowBlank="1" showInputMessage="1" showErrorMessage="1" sqref="E8:G8 E15:G15 E22:G22" xr:uid="{3614F411-DF01-4BC8-8375-3AF897911DA5}">
      <formula1>15</formula1>
    </dataValidation>
    <dataValidation type="whole" allowBlank="1" showInputMessage="1" showErrorMessage="1" promptTitle="PIN Code" prompt="Enter postal codes only" sqref="B10:C10 B17:C17 B24:C24" xr:uid="{70723DEA-6BE9-4EC3-8DF4-D848C000CC7B}">
      <formula1>110000</formula1>
      <formula2>859999</formula2>
    </dataValidation>
    <dataValidation type="list" allowBlank="1" showInputMessage="1" showErrorMessage="1" sqref="E24:G24 E10:G10 E17:G17" xr:uid="{21766A4E-773D-4C79-8F53-57943439BC53}">
      <formula1>$J$8:$J$27</formula1>
    </dataValidation>
  </dataValidations>
  <hyperlinks>
    <hyperlink ref="A1" location="Form!A119" display="Return to supplier form" xr:uid="{D8B782DE-8F2D-4705-8F7F-845CBA70D2CB}"/>
  </hyperlinks>
  <pageMargins left="0.2" right="0.2" top="0.2" bottom="0.2" header="0.19684930008748899" footer="0.51180993000874897"/>
  <pageSetup scale="79" orientation="portrait" verticalDpi="4294967293" r:id="rId1"/>
  <drawing r:id="rId2"/>
  <legacyDrawing r:id="rId3"/>
  <controls>
    <mc:AlternateContent xmlns:mc="http://schemas.openxmlformats.org/markup-compatibility/2006">
      <mc:Choice Requires="x14">
        <control shapeId="2049" r:id="rId4" name="CommandButton1">
          <controlPr defaultSize="0" autoLine="0" r:id="rId5">
            <anchor moveWithCells="1">
              <from>
                <xdr:col>0</xdr:col>
                <xdr:colOff>2484120</xdr:colOff>
                <xdr:row>31</xdr:row>
                <xdr:rowOff>60960</xdr:rowOff>
              </from>
              <to>
                <xdr:col>3</xdr:col>
                <xdr:colOff>678180</xdr:colOff>
                <xdr:row>33</xdr:row>
                <xdr:rowOff>7620</xdr:rowOff>
              </to>
            </anchor>
          </controlPr>
        </control>
      </mc:Choice>
      <mc:Fallback>
        <control shapeId="2049" r:id="rId4" name="CommandButton1"/>
      </mc:Fallback>
    </mc:AlternateContent>
  </control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DCE6E8FAA239E43B8AC0E527E575904" ma:contentTypeVersion="14" ma:contentTypeDescription="Create a new document." ma:contentTypeScope="" ma:versionID="2f7d915f51a18bd7695a629ba2bccf1a">
  <xsd:schema xmlns:xsd="http://www.w3.org/2001/XMLSchema" xmlns:xs="http://www.w3.org/2001/XMLSchema" xmlns:p="http://schemas.microsoft.com/office/2006/metadata/properties" xmlns:ns2="51ab6887-6130-4c53-a50d-e598852094fe" xmlns:ns3="2da32247-5368-4ca8-990b-173ebcecf2c2" targetNamespace="http://schemas.microsoft.com/office/2006/metadata/properties" ma:root="true" ma:fieldsID="56b94dfb02028fae9da94ab98eed8a94" ns2:_="" ns3:_="">
    <xsd:import namespace="51ab6887-6130-4c53-a50d-e598852094fe"/>
    <xsd:import namespace="2da32247-5368-4ca8-990b-173ebcecf2c2"/>
    <xsd:element name="properties">
      <xsd:complexType>
        <xsd:sequence>
          <xsd:element name="documentManagement">
            <xsd:complexType>
              <xsd:all>
                <xsd:element ref="ns2:MediaServiceMetadata" minOccurs="0"/>
                <xsd:element ref="ns2:MediaServiceFastMetadata" minOccurs="0"/>
                <xsd:element ref="ns2:MediaServiceGenerationTime" minOccurs="0"/>
                <xsd:element ref="ns2:MediaServiceEventHashCode" minOccurs="0"/>
                <xsd:element ref="ns2:MediaServiceOCR" minOccurs="0"/>
                <xsd:element ref="ns2:MediaServiceDateTaken" minOccurs="0"/>
                <xsd:element ref="ns2:lcf76f155ced4ddcb4097134ff3c332f" minOccurs="0"/>
                <xsd:element ref="ns3:TaxCatchAll" minOccurs="0"/>
                <xsd:element ref="ns3:SharedWithUsers" minOccurs="0"/>
                <xsd:element ref="ns3:SharedWithDetails"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ab6887-6130-4c53-a50d-e598852094f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GenerationTime" ma:index="10" nillable="true" ma:displayName="MediaServiceGenerationTime" ma:hidden="true" ma:internalName="MediaServiceGenerationTime" ma:readOnly="true">
      <xsd:simpleType>
        <xsd:restriction base="dms:Text"/>
      </xsd:simpleType>
    </xsd:element>
    <xsd:element name="MediaServiceEventHashCode" ma:index="11" nillable="true" ma:displayName="MediaServiceEventHashCode" ma:hidden="true" ma:internalName="MediaServiceEventHashCode"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DateTaken" ma:index="13" nillable="true" ma:displayName="MediaServiceDateTaken" ma:hidden="true" ma:internalName="MediaServiceDateTaken"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02763e4d-7885-4cd8-8534-835ebc0ece8c" ma:termSetId="09814cd3-568e-fe90-9814-8d621ff8fb84" ma:anchorId="fba54fb3-c3e1-fe81-a776-ca4b69148c4d" ma:open="true" ma:isKeyword="false">
      <xsd:complexType>
        <xsd:sequence>
          <xsd:element ref="pc:Terms" minOccurs="0" maxOccurs="1"/>
        </xsd:sequence>
      </xsd:complex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da32247-5368-4ca8-990b-173ebcecf2c2"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3509901d-2403-4362-80c2-0e21d6c94562}" ma:internalName="TaxCatchAll" ma:showField="CatchAllData" ma:web="2da32247-5368-4ca8-990b-173ebcecf2c2">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51ab6887-6130-4c53-a50d-e598852094fe">
      <Terms xmlns="http://schemas.microsoft.com/office/infopath/2007/PartnerControls"/>
    </lcf76f155ced4ddcb4097134ff3c332f>
    <TaxCatchAll xmlns="2da32247-5368-4ca8-990b-173ebcecf2c2" xsi:nil="true"/>
  </documentManagement>
</p:properties>
</file>

<file path=customXml/itemProps1.xml><?xml version="1.0" encoding="utf-8"?>
<ds:datastoreItem xmlns:ds="http://schemas.openxmlformats.org/officeDocument/2006/customXml" ds:itemID="{BADC57E7-FCE0-4AB0-BD89-6DFBC6529012}">
  <ds:schemaRefs>
    <ds:schemaRef ds:uri="http://schemas.microsoft.com/sharepoint/v3/contenttype/forms"/>
  </ds:schemaRefs>
</ds:datastoreItem>
</file>

<file path=customXml/itemProps2.xml><?xml version="1.0" encoding="utf-8"?>
<ds:datastoreItem xmlns:ds="http://schemas.openxmlformats.org/officeDocument/2006/customXml" ds:itemID="{B71CFB23-22EB-462B-8EE2-BC459BF9674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1ab6887-6130-4c53-a50d-e598852094fe"/>
    <ds:schemaRef ds:uri="2da32247-5368-4ca8-990b-173ebcecf2c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3E99848-941B-4279-817E-9AB15A3BC6FC}">
  <ds:schemaRefs>
    <ds:schemaRef ds:uri="http://schemas.microsoft.com/office/2006/metadata/properties"/>
    <ds:schemaRef ds:uri="http://purl.org/dc/terms/"/>
    <ds:schemaRef ds:uri="http://purl.org/dc/elements/1.1/"/>
    <ds:schemaRef ds:uri="http://schemas.openxmlformats.org/package/2006/metadata/core-properties"/>
    <ds:schemaRef ds:uri="http://www.w3.org/XML/1998/namespace"/>
    <ds:schemaRef ds:uri="2da32247-5368-4ca8-990b-173ebcecf2c2"/>
    <ds:schemaRef ds:uri="51ab6887-6130-4c53-a50d-e598852094fe"/>
    <ds:schemaRef ds:uri="http://schemas.microsoft.com/office/2006/documentManagement/types"/>
    <ds:schemaRef ds:uri="http://schemas.microsoft.com/office/infopath/2007/PartnerControls"/>
    <ds:schemaRef ds:uri="http://purl.org/dc/dcmitype/"/>
  </ds:schemaRefs>
</ds:datastoreItem>
</file>

<file path=docMetadata/LabelInfo.xml><?xml version="1.0" encoding="utf-8"?>
<clbl:labelList xmlns:clbl="http://schemas.microsoft.com/office/2020/mipLabelMetadata">
  <clbl:label id="{549ac42a-3eb4-4074-b885-aea26bd6241e}" enabled="1" method="Privileged" siteId="{9274ee3f-9425-4109-a27f-9fb15c10675d}"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16</vt:i4>
      </vt:variant>
      <vt:variant>
        <vt:lpstr>Benannte Bereiche</vt:lpstr>
      </vt:variant>
      <vt:variant>
        <vt:i4>106</vt:i4>
      </vt:variant>
    </vt:vector>
  </HeadingPairs>
  <TitlesOfParts>
    <vt:vector size="122" baseType="lpstr">
      <vt:lpstr>Form</vt:lpstr>
      <vt:lpstr>Instructions</vt:lpstr>
      <vt:lpstr>Languages</vt:lpstr>
      <vt:lpstr>LN France Form</vt:lpstr>
      <vt:lpstr>Languages France</vt:lpstr>
      <vt:lpstr>LN Austria Germany Form</vt:lpstr>
      <vt:lpstr>LanguagesA</vt:lpstr>
      <vt:lpstr>LN South Africa Form</vt:lpstr>
      <vt:lpstr>India Registrations - India</vt:lpstr>
      <vt:lpstr>W8-W9 - US</vt:lpstr>
      <vt:lpstr>Invoicing Requirements</vt:lpstr>
      <vt:lpstr>Drop Down Lists</vt:lpstr>
      <vt:lpstr>Conditions</vt:lpstr>
      <vt:lpstr>indirect&amp;text</vt:lpstr>
      <vt:lpstr>VM Team Conditions</vt:lpstr>
      <vt:lpstr>Versions</vt:lpstr>
      <vt:lpstr>accounttype</vt:lpstr>
      <vt:lpstr>agent</vt:lpstr>
      <vt:lpstr>authoreditor</vt:lpstr>
      <vt:lpstr>bankcodecond</vt:lpstr>
      <vt:lpstr>bankcodecond2</vt:lpstr>
      <vt:lpstr>'LN Austria Germany Form'!bankcountry1</vt:lpstr>
      <vt:lpstr>'LN France Form'!bankcountry1</vt:lpstr>
      <vt:lpstr>'LN South Africa Form'!bankcountry1</vt:lpstr>
      <vt:lpstr>bankcountry1</vt:lpstr>
      <vt:lpstr>'LN Austria Germany Form'!bankcountry2</vt:lpstr>
      <vt:lpstr>'LN France Form'!bankcountry2</vt:lpstr>
      <vt:lpstr>'LN South Africa Form'!bankcountry2</vt:lpstr>
      <vt:lpstr>bankcountry2</vt:lpstr>
      <vt:lpstr>blank</vt:lpstr>
      <vt:lpstr>canadaprov</vt:lpstr>
      <vt:lpstr>classfil</vt:lpstr>
      <vt:lpstr>coind</vt:lpstr>
      <vt:lpstr>coindfr</vt:lpstr>
      <vt:lpstr>countindco</vt:lpstr>
      <vt:lpstr>countries</vt:lpstr>
      <vt:lpstr>'LN Austria Germany Form'!country</vt:lpstr>
      <vt:lpstr>'LN France Form'!country</vt:lpstr>
      <vt:lpstr>'LN South Africa Form'!country</vt:lpstr>
      <vt:lpstr>country</vt:lpstr>
      <vt:lpstr>currencycancheck</vt:lpstr>
      <vt:lpstr>currencydd</vt:lpstr>
      <vt:lpstr>currencylistfull</vt:lpstr>
      <vt:lpstr>currencynoother</vt:lpstr>
      <vt:lpstr>Form!Druckbereich</vt:lpstr>
      <vt:lpstr>'India Registrations - India'!Druckbereich</vt:lpstr>
      <vt:lpstr>'LN Austria Germany Form'!Druckbereich</vt:lpstr>
      <vt:lpstr>'LN France Form'!Druckbereich</vt:lpstr>
      <vt:lpstr>'LN South Africa Form'!Druckbereich</vt:lpstr>
      <vt:lpstr>frankfurtsvc</vt:lpstr>
      <vt:lpstr>frsvctype</vt:lpstr>
      <vt:lpstr>GSTYN</vt:lpstr>
      <vt:lpstr>HSTYN</vt:lpstr>
      <vt:lpstr>ibancond1</vt:lpstr>
      <vt:lpstr>ibancond2</vt:lpstr>
      <vt:lpstr>ibanreqcond1</vt:lpstr>
      <vt:lpstr>ibanreqcond2</vt:lpstr>
      <vt:lpstr>iclocation</vt:lpstr>
      <vt:lpstr>icspend</vt:lpstr>
      <vt:lpstr>indaccttype1</vt:lpstr>
      <vt:lpstr>indaccttype2</vt:lpstr>
      <vt:lpstr>indcoind</vt:lpstr>
      <vt:lpstr>indfragmda</vt:lpstr>
      <vt:lpstr>indfranksvc</vt:lpstr>
      <vt:lpstr>indfrsvctype</vt:lpstr>
      <vt:lpstr>indgst</vt:lpstr>
      <vt:lpstr>indhst</vt:lpstr>
      <vt:lpstr>indicloc</vt:lpstr>
      <vt:lpstr>indirecticagree</vt:lpstr>
      <vt:lpstr>indirecticspend</vt:lpstr>
      <vt:lpstr>indirectledger</vt:lpstr>
      <vt:lpstr>indmunfc</vt:lpstr>
      <vt:lpstr>indmunvat</vt:lpstr>
      <vt:lpstr>indothercurr</vt:lpstr>
      <vt:lpstr>indprov</vt:lpstr>
      <vt:lpstr>indqst</vt:lpstr>
      <vt:lpstr>indspaintaxres</vt:lpstr>
      <vt:lpstr>indspainvat</vt:lpstr>
      <vt:lpstr>indusserviceloc</vt:lpstr>
      <vt:lpstr>indwhtax</vt:lpstr>
      <vt:lpstr>itinfield</vt:lpstr>
      <vt:lpstr>'LN Austria Germany Form'!language</vt:lpstr>
      <vt:lpstr>'LN France Form'!language</vt:lpstr>
      <vt:lpstr>'LN South Africa Form'!language</vt:lpstr>
      <vt:lpstr>language</vt:lpstr>
      <vt:lpstr>languages</vt:lpstr>
      <vt:lpstr>'LN Austria Germany Form'!ledger1</vt:lpstr>
      <vt:lpstr>'LN France Form'!ledger1</vt:lpstr>
      <vt:lpstr>'LN South Africa Form'!ledger1</vt:lpstr>
      <vt:lpstr>ledger1</vt:lpstr>
      <vt:lpstr>ledgerlist</vt:lpstr>
      <vt:lpstr>ledgerlistroy</vt:lpstr>
      <vt:lpstr>ledgerlistroyindia</vt:lpstr>
      <vt:lpstr>ledgerlistroymun</vt:lpstr>
      <vt:lpstr>munichvat</vt:lpstr>
      <vt:lpstr>nyger</vt:lpstr>
      <vt:lpstr>othercurrency</vt:lpstr>
      <vt:lpstr>paymethod</vt:lpstr>
      <vt:lpstr>paymethodeft</vt:lpstr>
      <vt:lpstr>paytermsfill</vt:lpstr>
      <vt:lpstr>QSTYN</vt:lpstr>
      <vt:lpstr>'LN Austria Germany Form'!reqtype</vt:lpstr>
      <vt:lpstr>'LN France Form'!reqtype</vt:lpstr>
      <vt:lpstr>'LN South Africa Form'!reqtype</vt:lpstr>
      <vt:lpstr>reqtype</vt:lpstr>
      <vt:lpstr>sortbranchcond1</vt:lpstr>
      <vt:lpstr>sortbranchcond2</vt:lpstr>
      <vt:lpstr>sortbranchreqcond1</vt:lpstr>
      <vt:lpstr>sortbranchreqcond2</vt:lpstr>
      <vt:lpstr>spainprov</vt:lpstr>
      <vt:lpstr>'LN Austria Germany Form'!suppaytype</vt:lpstr>
      <vt:lpstr>'LN France Form'!suppaytype</vt:lpstr>
      <vt:lpstr>'LN South Africa Form'!suppaytype</vt:lpstr>
      <vt:lpstr>suppaytype</vt:lpstr>
      <vt:lpstr>suppliertype</vt:lpstr>
      <vt:lpstr>'LN Austria Germany Form'!taxcountry</vt:lpstr>
      <vt:lpstr>'LN France Form'!taxcountry</vt:lpstr>
      <vt:lpstr>'LN South Africa Form'!taxcountry</vt:lpstr>
      <vt:lpstr>taxcountry</vt:lpstr>
      <vt:lpstr>usinout</vt:lpstr>
      <vt:lpstr>whtax</vt:lpstr>
      <vt:lpstr>yesno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Global Supplier Form</dc:title>
  <dc:subject/>
  <dc:creator>kathleen.courson@lexisnexis.com</dc:creator>
  <cp:keywords/>
  <dc:description/>
  <cp:lastModifiedBy>Eisenstädter, Jana (LNG-VIE)</cp:lastModifiedBy>
  <cp:revision/>
  <dcterms:created xsi:type="dcterms:W3CDTF">2020-03-09T18:31:55Z</dcterms:created>
  <dcterms:modified xsi:type="dcterms:W3CDTF">2026-04-17T06:31:16Z</dcterms:modified>
  <cp:category>LN AP</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0x0101001DCE6E8FAA239E43B8AC0E527E575904</vt:lpwstr>
  </property>
  <property fmtid="{D5CDD505-2E9C-101B-9397-08002B2CF9AE}" pid="3" name="SV_QUERY_LIST_4F35BF76-6C0D-4D9B-82B2-816C12CF3733">
    <vt:lpwstr>empty_477D106A-C0D6-4607-AEBD-E2C9D60EA279</vt:lpwstr>
  </property>
  <property fmtid="{D5CDD505-2E9C-101B-9397-08002B2CF9AE}" pid="4" name="SV_HIDDEN_GRID_QUERY_LIST_4F35BF76-6C0D-4D9B-82B2-816C12CF3733">
    <vt:lpwstr>empty_477D106A-C0D6-4607-AEBD-E2C9D60EA279</vt:lpwstr>
  </property>
  <property fmtid="{D5CDD505-2E9C-101B-9397-08002B2CF9AE}" pid="5" name="MSIP_Label_549ac42a-3eb4-4074-b885-aea26bd6241e_Enabled">
    <vt:lpwstr>True</vt:lpwstr>
  </property>
  <property fmtid="{D5CDD505-2E9C-101B-9397-08002B2CF9AE}" pid="6" name="MSIP_Label_549ac42a-3eb4-4074-b885-aea26bd6241e_SiteId">
    <vt:lpwstr>9274ee3f-9425-4109-a27f-9fb15c10675d</vt:lpwstr>
  </property>
  <property fmtid="{D5CDD505-2E9C-101B-9397-08002B2CF9AE}" pid="7" name="MSIP_Label_549ac42a-3eb4-4074-b885-aea26bd6241e_Owner">
    <vt:lpwstr>COURSOKJ@legal.regn.net</vt:lpwstr>
  </property>
  <property fmtid="{D5CDD505-2E9C-101B-9397-08002B2CF9AE}" pid="8" name="MSIP_Label_549ac42a-3eb4-4074-b885-aea26bd6241e_SetDate">
    <vt:lpwstr>2020-12-15T16:28:09.9902414Z</vt:lpwstr>
  </property>
  <property fmtid="{D5CDD505-2E9C-101B-9397-08002B2CF9AE}" pid="9" name="MSIP_Label_549ac42a-3eb4-4074-b885-aea26bd6241e_Name">
    <vt:lpwstr>General Business</vt:lpwstr>
  </property>
  <property fmtid="{D5CDD505-2E9C-101B-9397-08002B2CF9AE}" pid="10" name="MSIP_Label_549ac42a-3eb4-4074-b885-aea26bd6241e_Application">
    <vt:lpwstr>Microsoft Azure Information Protection</vt:lpwstr>
  </property>
  <property fmtid="{D5CDD505-2E9C-101B-9397-08002B2CF9AE}" pid="11" name="MSIP_Label_549ac42a-3eb4-4074-b885-aea26bd6241e_ActionId">
    <vt:lpwstr>b5c95fb4-d6c3-4cf1-88c5-587e865bf905</vt:lpwstr>
  </property>
  <property fmtid="{D5CDD505-2E9C-101B-9397-08002B2CF9AE}" pid="12" name="MSIP_Label_549ac42a-3eb4-4074-b885-aea26bd6241e_Extended_MSFT_Method">
    <vt:lpwstr>Automatic</vt:lpwstr>
  </property>
  <property fmtid="{D5CDD505-2E9C-101B-9397-08002B2CF9AE}" pid="13" name="Sensitivity">
    <vt:lpwstr>General Business</vt:lpwstr>
  </property>
  <property fmtid="{D5CDD505-2E9C-101B-9397-08002B2CF9AE}" pid="14" name="MediaServiceImageTags">
    <vt:lpwstr/>
  </property>
</Properties>
</file>